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8"/>
  </bookViews>
  <sheets>
    <sheet name="Item1" sheetId="1" r:id="rId1"/>
    <sheet name="Item2" sheetId="4" r:id="rId2"/>
    <sheet name="Item3" sheetId="5" r:id="rId3"/>
    <sheet name="Item4" sheetId="6" r:id="rId4"/>
    <sheet name="Item5" sheetId="7" r:id="rId5"/>
    <sheet name="Item6" sheetId="8" r:id="rId6"/>
    <sheet name="Item7" sheetId="9"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 name="tabelaTR" sheetId="31" r:id="rId29"/>
  </sheets>
  <definedNames>
    <definedName name="_xlnm.Print_Area" localSheetId="28">tabelaTR!$A$1:$I$15</definedName>
    <definedName name="_xlnm.Print_Area" localSheetId="27">total!$A$1:$G$11</definedName>
    <definedName name="_xlnm.Print_Titles" localSheetId="28">tabelaTR!$1:$3</definedName>
    <definedName name="_xlnm.Print_Titles" localSheetId="27">total!$1:$2</definedName>
  </definedNames>
  <calcPr calcId="145621"/>
</workbook>
</file>

<file path=xl/calcChain.xml><?xml version="1.0" encoding="utf-8"?>
<calcChain xmlns="http://schemas.openxmlformats.org/spreadsheetml/2006/main">
  <c r="G13" i="31" l="1"/>
  <c r="G7" i="31"/>
  <c r="I7" i="31" s="1"/>
  <c r="H12" i="31"/>
  <c r="G12" i="31"/>
  <c r="G11" i="31"/>
  <c r="I11" i="31" s="1"/>
  <c r="D13" i="31"/>
  <c r="D12" i="31"/>
  <c r="D11" i="31"/>
  <c r="I6" i="31"/>
  <c r="I5" i="31"/>
  <c r="H6" i="31"/>
  <c r="G6" i="31"/>
  <c r="G5" i="31"/>
  <c r="D7" i="31"/>
  <c r="D6" i="31"/>
  <c r="D5" i="31"/>
  <c r="H6" i="5"/>
  <c r="H7" i="4"/>
  <c r="H13" i="1"/>
  <c r="H6" i="8"/>
  <c r="H6" i="7"/>
  <c r="H6" i="4"/>
  <c r="H12" i="1"/>
  <c r="H5" i="8"/>
  <c r="H5" i="4"/>
  <c r="H11" i="1"/>
  <c r="H5" i="5"/>
  <c r="H4" i="5"/>
  <c r="H10" i="1"/>
  <c r="D3" i="9"/>
  <c r="E9" i="23" s="1"/>
  <c r="D3" i="7"/>
  <c r="D3" i="6"/>
  <c r="C8" i="23"/>
  <c r="D8" i="23"/>
  <c r="E8" i="23"/>
  <c r="C9" i="23"/>
  <c r="D9" i="23"/>
  <c r="B9" i="23"/>
  <c r="B8" i="23"/>
  <c r="H3" i="8"/>
  <c r="F3" i="8"/>
  <c r="D3" i="8"/>
  <c r="H3" i="5"/>
  <c r="H4" i="4"/>
  <c r="H9" i="1"/>
  <c r="H8" i="6"/>
  <c r="H8" i="1"/>
  <c r="H3" i="4"/>
  <c r="H7" i="1"/>
  <c r="F15" i="31" l="1"/>
  <c r="I12" i="31"/>
  <c r="I13" i="31"/>
  <c r="H6" i="6"/>
  <c r="H6" i="1"/>
  <c r="H5" i="6"/>
  <c r="H5" i="1"/>
  <c r="H4" i="1"/>
  <c r="H3" i="1"/>
  <c r="D3" i="5"/>
  <c r="D3" i="4"/>
  <c r="D3" i="1"/>
  <c r="F18"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13" i="23"/>
  <c r="C4" i="23"/>
  <c r="D4" i="23"/>
  <c r="E4" i="23"/>
  <c r="C5" i="23"/>
  <c r="D5" i="23"/>
  <c r="E5" i="23"/>
  <c r="C6" i="23"/>
  <c r="D6" i="23"/>
  <c r="E6" i="23"/>
  <c r="C7" i="23"/>
  <c r="D7" i="23"/>
  <c r="E7" i="23"/>
  <c r="B7"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H20" i="8"/>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7"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12" i="8"/>
  <c r="I13" i="8"/>
  <c r="I17" i="8"/>
  <c r="I11" i="8"/>
  <c r="I16" i="8"/>
  <c r="I10" i="8"/>
  <c r="I16" i="9"/>
  <c r="C20" i="10"/>
  <c r="I7" i="9"/>
  <c r="I13" i="9"/>
  <c r="I9" i="9"/>
  <c r="I15" i="9"/>
  <c r="I15" i="7"/>
  <c r="I10" i="9"/>
  <c r="I17" i="7"/>
  <c r="I11" i="9"/>
  <c r="I17" i="9"/>
  <c r="I15" i="6"/>
  <c r="I14" i="6"/>
  <c r="I17" i="6"/>
  <c r="I16" i="6"/>
  <c r="I12" i="6"/>
  <c r="I12" i="5"/>
  <c r="I17" i="5"/>
  <c r="I11" i="5"/>
  <c r="I16" i="5"/>
  <c r="I8" i="5"/>
  <c r="I13" i="5"/>
  <c r="I15" i="5"/>
  <c r="I14" i="5"/>
  <c r="A20" i="4"/>
  <c r="C20" i="4" s="1"/>
  <c r="C20" i="1"/>
  <c r="I5" i="9" l="1"/>
  <c r="I6" i="9"/>
  <c r="I3" i="9"/>
  <c r="I4" i="8"/>
  <c r="I7" i="6"/>
  <c r="I6" i="6"/>
  <c r="I5" i="6"/>
  <c r="I3" i="6"/>
  <c r="E20" i="24"/>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I3" i="8"/>
  <c r="I11" i="6"/>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9" l="1"/>
  <c r="H22" i="9" s="1"/>
  <c r="H23" i="9" s="1"/>
  <c r="E20" i="8"/>
  <c r="E20" i="6"/>
  <c r="H22" i="6" s="1"/>
  <c r="H23" i="6" s="1"/>
  <c r="H22" i="24"/>
  <c r="H23" i="24" s="1"/>
  <c r="E20" i="20"/>
  <c r="H22" i="20"/>
  <c r="H23" i="20" s="1"/>
  <c r="E3" i="20"/>
  <c r="E3" i="16"/>
  <c r="H22" i="12"/>
  <c r="H23" i="12" s="1"/>
  <c r="E3" i="12"/>
  <c r="E20" i="5"/>
  <c r="E3" i="5" s="1"/>
  <c r="F5" i="23" s="1"/>
  <c r="G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20" i="7"/>
  <c r="E20" i="4"/>
  <c r="E3" i="4" s="1"/>
  <c r="F4" i="23" s="1"/>
  <c r="G4" i="23" s="1"/>
  <c r="E20" i="17"/>
  <c r="E20" i="1"/>
  <c r="E3" i="9" l="1"/>
  <c r="F9" i="23" s="1"/>
  <c r="G9" i="23" s="1"/>
  <c r="H22" i="8"/>
  <c r="H23" i="8" s="1"/>
  <c r="E3" i="8"/>
  <c r="F8" i="23" s="1"/>
  <c r="G8" i="23" s="1"/>
  <c r="E3" i="6"/>
  <c r="F6" i="23" s="1"/>
  <c r="G6" i="23" s="1"/>
  <c r="F17" i="23"/>
  <c r="E3" i="21"/>
  <c r="E3" i="19"/>
  <c r="E3" i="15"/>
  <c r="H22" i="13"/>
  <c r="H23" i="13" s="1"/>
  <c r="E3" i="10"/>
  <c r="H22" i="5"/>
  <c r="H23" i="5" s="1"/>
  <c r="H22" i="4"/>
  <c r="H23" i="4" s="1"/>
  <c r="E3" i="11"/>
  <c r="H22" i="7"/>
  <c r="H23" i="7" s="1"/>
  <c r="E3" i="7"/>
  <c r="F7" i="23" s="1"/>
  <c r="G7" i="23" s="1"/>
  <c r="H22" i="17"/>
  <c r="H23" i="17" s="1"/>
  <c r="E3" i="17"/>
  <c r="E3" i="1"/>
  <c r="F3" i="23" s="1"/>
  <c r="G3" i="23" s="1"/>
  <c r="H22" i="1"/>
  <c r="H23" i="1" s="1"/>
  <c r="F16" i="23" l="1"/>
  <c r="F15" i="23"/>
  <c r="F11" i="23"/>
</calcChain>
</file>

<file path=xl/sharedStrings.xml><?xml version="1.0" encoding="utf-8"?>
<sst xmlns="http://schemas.openxmlformats.org/spreadsheetml/2006/main" count="994" uniqueCount="201">
  <si>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</si>
  <si>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</si>
  <si>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</si>
  <si>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</si>
  <si>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</si>
  <si>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</si>
  <si>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</si>
  <si>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</si>
  <si>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</si>
  <si>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</si>
  <si>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</si>
  <si>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</si>
  <si>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</si>
  <si>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</si>
  <si>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</si>
  <si>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</si>
  <si>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</si>
  <si>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</si>
  <si>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</si>
  <si>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</si>
  <si>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</si>
  <si>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</si>
  <si>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</si>
  <si>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</si>
  <si>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</si>
  <si>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</si>
  <si>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</si>
  <si>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</si>
  <si>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</si>
  <si>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</si>
  <si>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</si>
  <si>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</si>
  <si>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</si>
  <si>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</si>
  <si>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</si>
  <si>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</si>
  <si>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</si>
  <si>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</si>
  <si>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</si>
  <si>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</si>
  <si>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</si>
  <si>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</si>
  <si>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</si>
  <si>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</si>
  <si>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</si>
  <si>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</si>
  <si>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</si>
  <si>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</si>
  <si>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</si>
  <si>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</si>
  <si>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</si>
  <si>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</si>
  <si>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</si>
  <si>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</si>
  <si>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G2B COMERCIO E REPRESENTACOES LTDA</t>
  </si>
  <si>
    <t>MENDES SOLUCOES INTEGRADAS LTDA</t>
  </si>
  <si>
    <t>M2Z SOLUCOES INTEGRADAS LTDA</t>
  </si>
  <si>
    <t>RAUL MUELLER SCHRAMM</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</si>
  <si>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</si>
  <si>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</si>
  <si>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</si>
  <si>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</si>
  <si>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</si>
  <si>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</si>
  <si>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</si>
  <si>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</si>
  <si>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</si>
  <si>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</si>
  <si>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</si>
  <si>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</si>
  <si>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</si>
  <si>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</si>
  <si>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</si>
  <si>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</si>
  <si>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</si>
  <si>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</si>
  <si>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</si>
  <si>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</si>
  <si>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</si>
  <si>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</si>
  <si>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</si>
  <si>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</si>
  <si>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</si>
  <si>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</si>
  <si>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</si>
  <si>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</si>
  <si>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</si>
  <si>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</si>
  <si>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</si>
  <si>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</si>
  <si>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</si>
  <si>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</si>
  <si>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</si>
  <si>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</si>
  <si>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</si>
  <si>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</si>
  <si>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</si>
  <si>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</si>
  <si>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</si>
  <si>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</si>
  <si>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</si>
  <si>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</si>
  <si>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</si>
  <si>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</si>
  <si>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</si>
  <si>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</si>
  <si>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</si>
  <si>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</si>
  <si>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</si>
  <si>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</si>
  <si>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</si>
  <si>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</si>
  <si>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</si>
  <si>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</si>
  <si>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</si>
  <si>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</si>
  <si>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</si>
  <si>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</si>
  <si>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</si>
  <si>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</si>
  <si>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</si>
  <si>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</si>
  <si>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</si>
  <si>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</si>
  <si>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</si>
  <si>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</si>
  <si>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</si>
  <si>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</si>
  <si>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</si>
  <si>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</si>
  <si>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</si>
  <si>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</si>
  <si>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</si>
  <si>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</si>
  <si>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</si>
  <si>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</si>
  <si>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</si>
  <si>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</si>
  <si>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EMANIA FOTO E VIDEO</t>
  </si>
  <si>
    <t>MAGAZINE LUIZA</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</si>
  <si>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</si>
  <si>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</si>
  <si>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</si>
  <si>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</si>
  <si>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</si>
  <si>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</si>
  <si>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</si>
  <si>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</si>
  <si>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</si>
  <si>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</si>
  <si>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</si>
  <si>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</si>
  <si>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</si>
  <si>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</si>
  <si>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</si>
  <si>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</si>
  <si>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</si>
  <si>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</si>
  <si>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</si>
  <si>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</si>
  <si>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</si>
  <si>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</si>
  <si>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</si>
  <si>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</si>
  <si>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</si>
  <si>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</si>
  <si>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</si>
  <si>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</si>
  <si>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</si>
  <si>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</si>
  <si>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</si>
  <si>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</si>
  <si>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r>
      <t xml:space="preserve">Impressora Multifuncional Laser Monocromática A4
Valor anual da locação
[490 equipamentos </t>
    </r>
    <r>
      <rPr>
        <sz val="9"/>
        <color theme="1"/>
        <rFont val="Calibri"/>
        <family val="2"/>
      </rPr>
      <t>×</t>
    </r>
    <r>
      <rPr>
        <sz val="9"/>
        <color theme="1"/>
        <rFont val="Times New Roman"/>
        <family val="1"/>
      </rPr>
      <t xml:space="preserve"> 2 anos = 980]</t>
    </r>
  </si>
  <si>
    <t>Impressora Multifuncional Laser Colorida A3
Valor anual da locação
[30 equipamentos × 2 anos = 60]</t>
  </si>
  <si>
    <t>Impressora Laser Monocromática A4
Valor anual da locação
[110 equipamentos × 2 anos = 220]</t>
  </si>
  <si>
    <t>HM1 LOCACOES E SERVICOS LTDA</t>
  </si>
  <si>
    <t>DOCUMENT SOLUTIONS COMERCIO E SERVICOS LTDA</t>
  </si>
  <si>
    <t>LELLO PRINT BRASIL COMERCIAL LTDA</t>
  </si>
  <si>
    <t>IMPORTINVEST IMPORTACAO E COMERCIO LTDA</t>
  </si>
  <si>
    <t>TECHNOCOPY SERVICE LTDA</t>
  </si>
  <si>
    <t>TC COMERCIO DE SERVICOS E TECNOLOGIA LTDA</t>
  </si>
  <si>
    <t>SIMPRESS COMERCIO LOCACAO E SERVICOS LTDA</t>
  </si>
  <si>
    <t>Impressão P&amp;B - VC1PB</t>
  </si>
  <si>
    <t>Impressão colorida - VC2C</t>
  </si>
  <si>
    <t>Impressão P&amp;B - VC2PB</t>
  </si>
  <si>
    <t>Impressão P&amp;B - VC3PB</t>
  </si>
  <si>
    <t>AMAZONAS COPIADORAS LTDA</t>
  </si>
  <si>
    <t>COPYCENTRO NOROESTE LTDA</t>
  </si>
  <si>
    <t>GOLVIM LOGÍSTICA E COMÉRCIO LTDA</t>
  </si>
  <si>
    <t>TECNOSET INFORMATICA PRODUTOS E SERVICOS LTDA</t>
  </si>
  <si>
    <t>Resultado da Estimativa - Tabelas Tópico 1.2 do TR</t>
  </si>
  <si>
    <t>página</t>
  </si>
  <si>
    <t>quantidade equipamentos</t>
  </si>
  <si>
    <t>valor anual da locação</t>
  </si>
  <si>
    <t>quantidade estimada de impressões</t>
  </si>
  <si>
    <t>P&amp;B</t>
  </si>
  <si>
    <t>Colorida</t>
  </si>
  <si>
    <t>valor da cópia</t>
  </si>
  <si>
    <t>valor total anual</t>
  </si>
  <si>
    <t>Ano não eleitoral</t>
  </si>
  <si>
    <t>Ano eleitoral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</si>
</sst>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R$&quot;\ #,##0.00;[Red]\-&quot;R$&quot;\ #,##0.00"/>
    <numFmt numFmtId="44" formatCode="_-&quot;R$&quot;\ * #,##0.00_-;\-&quot;R$&quot;\ * #,##0.00_-;_-&quot;R$&quot;\ * &quot;-&quot;??_-;_-@_-"/>
    <numFmt numFmtId="164" formatCode="#,#00;\-0;\-;@"/>
  </numFmts>
  <fonts count="11"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sz val="9"/>
      <color theme="1"/>
      <name val="Calibri"/>
      <family val="2"/>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7" fillId="2" borderId="1" xfId="0" applyFont="1" applyFill="1" applyBorder="1" applyAlignment="1">
      <alignment horizontal="center" vertical="center" wrapText="1"/>
    </xf>
    <xf numFmtId="3" fontId="2" fillId="0" borderId="1" xfId="0" applyNumberFormat="1" applyFont="1" applyBorder="1" applyAlignment="1">
      <alignment horizontal="center" vertical="top"/>
    </xf>
    <xf numFmtId="44" fontId="2" fillId="0" borderId="1" xfId="0" applyNumberFormat="1" applyFont="1" applyBorder="1" applyAlignment="1">
      <alignment horizontal="center" vertical="top"/>
    </xf>
    <xf numFmtId="164" fontId="2" fillId="0" borderId="1" xfId="0" applyNumberFormat="1" applyFont="1" applyBorder="1" applyAlignment="1">
      <alignment horizontal="center" vertical="top"/>
    </xf>
    <xf numFmtId="44" fontId="2" fillId="0" borderId="1" xfId="0" applyNumberFormat="1" applyFont="1" applyBorder="1"/>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xf numFmtId="0" fontId="9" fillId="0" borderId="0" xfId="0" applyFont="1" applyBorder="1" applyAlignment="1">
      <alignment horizontal="center"/>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v>
      </c>
      <c r="B3" s="35" t="s">
        <v>172</v>
      </c>
      <c r="C3" s="37" t="s">
        <v>7</v>
      </c>
      <c r="D3" s="37">
        <f>490*2</f>
        <v>980</v>
      </c>
      <c r="E3" s="38">
        <f>IF(C20&lt;=25%,D20,MIN(E20:F20))</f>
        <v>1631.03</v>
      </c>
      <c r="F3" s="38">
        <f>MIN(H3:H17)</f>
        <v>1184.8799999999999</v>
      </c>
      <c r="G3" s="5" t="s">
        <v>175</v>
      </c>
      <c r="H3" s="16">
        <f>149*12</f>
        <v>1788</v>
      </c>
      <c r="I3" s="17">
        <f>IF(H3="","",(IF($C$20&lt;25%,"n/a",IF(H3&lt;=($D$20+$A$20),H3,"Descartado"))))</f>
        <v>1788</v>
      </c>
    </row>
    <row r="4" spans="1:9" x14ac:dyDescent="0.25">
      <c r="A4" s="39"/>
      <c r="B4" s="36"/>
      <c r="C4" s="37"/>
      <c r="D4" s="37"/>
      <c r="E4" s="38"/>
      <c r="F4" s="38"/>
      <c r="G4" s="5" t="s">
        <v>176</v>
      </c>
      <c r="H4" s="16">
        <f>334*12</f>
        <v>4008</v>
      </c>
      <c r="I4" s="17" t="str">
        <f t="shared" ref="I4:I17" si="0">IF(H4="","",(IF($C$20&lt;25%,"n/a",IF(H4&lt;=($D$20+$A$20),H4,"Descartado"))))</f>
        <v>Descartado</v>
      </c>
    </row>
    <row r="5" spans="1:9" x14ac:dyDescent="0.25">
      <c r="A5" s="39"/>
      <c r="B5" s="36"/>
      <c r="C5" s="37"/>
      <c r="D5" s="37"/>
      <c r="E5" s="38"/>
      <c r="F5" s="38"/>
      <c r="G5" s="5" t="s">
        <v>177</v>
      </c>
      <c r="H5" s="16">
        <f>98.74*12</f>
        <v>1184.8799999999999</v>
      </c>
      <c r="I5" s="17">
        <f t="shared" si="0"/>
        <v>1184.8799999999999</v>
      </c>
    </row>
    <row r="6" spans="1:9" x14ac:dyDescent="0.25">
      <c r="A6" s="39"/>
      <c r="B6" s="36"/>
      <c r="C6" s="37"/>
      <c r="D6" s="37"/>
      <c r="E6" s="38"/>
      <c r="F6" s="38"/>
      <c r="G6" s="5" t="s">
        <v>178</v>
      </c>
      <c r="H6" s="16">
        <f>147*12</f>
        <v>1764</v>
      </c>
      <c r="I6" s="17">
        <f t="shared" si="0"/>
        <v>1764</v>
      </c>
    </row>
    <row r="7" spans="1:9" x14ac:dyDescent="0.25">
      <c r="A7" s="39"/>
      <c r="B7" s="36"/>
      <c r="C7" s="37"/>
      <c r="D7" s="37"/>
      <c r="E7" s="38"/>
      <c r="F7" s="38"/>
      <c r="G7" s="5" t="s">
        <v>179</v>
      </c>
      <c r="H7" s="16">
        <f>115*12</f>
        <v>1380</v>
      </c>
      <c r="I7" s="17">
        <f t="shared" si="0"/>
        <v>1380</v>
      </c>
    </row>
    <row r="8" spans="1:9" x14ac:dyDescent="0.25">
      <c r="A8" s="39"/>
      <c r="B8" s="36"/>
      <c r="C8" s="37"/>
      <c r="D8" s="37"/>
      <c r="E8" s="38"/>
      <c r="F8" s="38"/>
      <c r="G8" s="5" t="s">
        <v>180</v>
      </c>
      <c r="H8" s="16">
        <f>188.334*12</f>
        <v>2260.0079999999998</v>
      </c>
      <c r="I8" s="17">
        <f t="shared" si="0"/>
        <v>2260.0079999999998</v>
      </c>
    </row>
    <row r="9" spans="1:9" x14ac:dyDescent="0.25">
      <c r="A9" s="39"/>
      <c r="B9" s="36"/>
      <c r="C9" s="37"/>
      <c r="D9" s="37"/>
      <c r="E9" s="38"/>
      <c r="F9" s="38"/>
      <c r="G9" s="5" t="s">
        <v>181</v>
      </c>
      <c r="H9" s="16">
        <f>146.26*12</f>
        <v>1755.12</v>
      </c>
      <c r="I9" s="17">
        <f t="shared" si="0"/>
        <v>1755.12</v>
      </c>
    </row>
    <row r="10" spans="1:9" x14ac:dyDescent="0.25">
      <c r="A10" s="39"/>
      <c r="B10" s="36"/>
      <c r="C10" s="37"/>
      <c r="D10" s="37"/>
      <c r="E10" s="38"/>
      <c r="F10" s="38"/>
      <c r="G10" s="5" t="s">
        <v>186</v>
      </c>
      <c r="H10" s="16">
        <f>310*12</f>
        <v>3720</v>
      </c>
      <c r="I10" s="17" t="str">
        <f t="shared" si="0"/>
        <v>Descartado</v>
      </c>
    </row>
    <row r="11" spans="1:9" x14ac:dyDescent="0.25">
      <c r="A11" s="39"/>
      <c r="B11" s="36"/>
      <c r="C11" s="37"/>
      <c r="D11" s="37"/>
      <c r="E11" s="38"/>
      <c r="F11" s="38"/>
      <c r="G11" s="5" t="s">
        <v>188</v>
      </c>
      <c r="H11" s="16">
        <f>136356/84</f>
        <v>1623.2857142857142</v>
      </c>
      <c r="I11" s="17">
        <f t="shared" si="0"/>
        <v>1623.2857142857142</v>
      </c>
    </row>
    <row r="12" spans="1:9" x14ac:dyDescent="0.25">
      <c r="A12" s="39"/>
      <c r="B12" s="36"/>
      <c r="C12" s="37"/>
      <c r="D12" s="37"/>
      <c r="E12" s="38"/>
      <c r="F12" s="38"/>
      <c r="G12" s="5" t="s">
        <v>187</v>
      </c>
      <c r="H12" s="16">
        <f>141.6666*12</f>
        <v>1699.9991999999997</v>
      </c>
      <c r="I12" s="17">
        <f t="shared" si="0"/>
        <v>1699.9991999999997</v>
      </c>
    </row>
    <row r="13" spans="1:9" x14ac:dyDescent="0.25">
      <c r="A13" s="39"/>
      <c r="B13" s="36"/>
      <c r="C13" s="37"/>
      <c r="D13" s="37"/>
      <c r="E13" s="38"/>
      <c r="F13" s="38"/>
      <c r="G13" s="5" t="s">
        <v>189</v>
      </c>
      <c r="H13" s="16">
        <f>102*12</f>
        <v>1224</v>
      </c>
      <c r="I13" s="17">
        <f t="shared" si="0"/>
        <v>1224</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953.23157933782466</v>
      </c>
      <c r="B20" s="8">
        <f>COUNT(H3:H17)</f>
        <v>11</v>
      </c>
      <c r="C20" s="9">
        <f>IF(B20&lt;2,"n/a",(A20/D20))</f>
        <v>0.46795166459886434</v>
      </c>
      <c r="D20" s="10">
        <f>IFERROR(ROUND(AVERAGE(H3:H17),2),"")</f>
        <v>2037.03</v>
      </c>
      <c r="E20" s="15">
        <f>IFERROR(ROUND(IF(B20&lt;2,"n/a",(IF(C20&lt;=25%,"n/a",AVERAGE(I3:I17)))),2),"n/a")</f>
        <v>1631.03</v>
      </c>
      <c r="F20" s="10">
        <f>IFERROR(ROUND(MEDIAN(H3:H17),2),"")</f>
        <v>1755.12</v>
      </c>
      <c r="G20" s="11" t="str">
        <f>IFERROR(INDEX(G3:G17,MATCH(H20,H3:H17,0)),"")</f>
        <v>LELLO PRINT BRASIL COMERCIAL LTDA</v>
      </c>
      <c r="H20" s="12">
        <f>F3</f>
        <v>1184.8799999999999</v>
      </c>
    </row>
    <row r="22" spans="1:9" x14ac:dyDescent="0.25">
      <c r="G22" s="13" t="s">
        <v>20</v>
      </c>
      <c r="H22" s="14">
        <f>IF(C20&lt;=25%,D20,MIN(E20:F20))</f>
        <v>1631.03</v>
      </c>
    </row>
    <row r="23" spans="1:9" x14ac:dyDescent="0.25">
      <c r="G23" s="13" t="s">
        <v>6</v>
      </c>
      <c r="H23" s="14">
        <f>ROUND(H22,2)*D3</f>
        <v>1598409.4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10</v>
      </c>
      <c r="B3" s="35" t="s">
        <v>36</v>
      </c>
      <c r="C3" s="37" t="s">
        <v>7</v>
      </c>
      <c r="D3" s="37">
        <v>4</v>
      </c>
      <c r="E3" s="38">
        <f>IF(C20&lt;=25%,D20,MIN(E20:F20))</f>
        <v>96.78</v>
      </c>
      <c r="F3" s="38">
        <f>MIN(H3:H17)</f>
        <v>40</v>
      </c>
      <c r="G3" s="5" t="s">
        <v>72</v>
      </c>
      <c r="H3" s="16">
        <v>98</v>
      </c>
      <c r="I3" s="17">
        <f>IF(H3="","",(IF($C$20&lt;25%,"n/a",IF(H3&lt;=($D$20+$A$20),H3,"Descartado"))))</f>
        <v>98</v>
      </c>
    </row>
    <row r="4" spans="1:9" x14ac:dyDescent="0.25">
      <c r="A4" s="39"/>
      <c r="B4" s="36"/>
      <c r="C4" s="37"/>
      <c r="D4" s="37"/>
      <c r="E4" s="38"/>
      <c r="F4" s="38"/>
      <c r="G4" s="5" t="s">
        <v>73</v>
      </c>
      <c r="H4" s="16">
        <v>134.55000000000001</v>
      </c>
      <c r="I4" s="17">
        <f t="shared" ref="I4:I17" si="0">IF(H4="","",(IF($C$20&lt;25%,"n/a",IF(H4&lt;=($D$20+$A$20),H4,"Descartado"))))</f>
        <v>134.55000000000001</v>
      </c>
    </row>
    <row r="5" spans="1:9" x14ac:dyDescent="0.25">
      <c r="A5" s="39"/>
      <c r="B5" s="36"/>
      <c r="C5" s="37"/>
      <c r="D5" s="37"/>
      <c r="E5" s="38"/>
      <c r="F5" s="38"/>
      <c r="G5" s="5" t="s">
        <v>74</v>
      </c>
      <c r="H5" s="16">
        <v>59.77</v>
      </c>
      <c r="I5" s="17">
        <f t="shared" si="0"/>
        <v>59.77</v>
      </c>
    </row>
    <row r="6" spans="1:9" x14ac:dyDescent="0.25">
      <c r="A6" s="39"/>
      <c r="B6" s="36"/>
      <c r="C6" s="37"/>
      <c r="D6" s="37"/>
      <c r="E6" s="38"/>
      <c r="F6" s="38"/>
      <c r="G6" s="5" t="s">
        <v>75</v>
      </c>
      <c r="H6" s="16">
        <v>167</v>
      </c>
      <c r="I6" s="17">
        <f t="shared" si="0"/>
        <v>167</v>
      </c>
    </row>
    <row r="7" spans="1:9" x14ac:dyDescent="0.25">
      <c r="A7" s="39"/>
      <c r="B7" s="36"/>
      <c r="C7" s="37"/>
      <c r="D7" s="37"/>
      <c r="E7" s="38"/>
      <c r="F7" s="38"/>
      <c r="G7" s="5" t="s">
        <v>76</v>
      </c>
      <c r="H7" s="16">
        <v>60</v>
      </c>
      <c r="I7" s="17">
        <f t="shared" si="0"/>
        <v>60</v>
      </c>
    </row>
    <row r="8" spans="1:9" x14ac:dyDescent="0.25">
      <c r="A8" s="39"/>
      <c r="B8" s="36"/>
      <c r="C8" s="37"/>
      <c r="D8" s="37"/>
      <c r="E8" s="38"/>
      <c r="F8" s="38"/>
      <c r="G8" s="5" t="s">
        <v>77</v>
      </c>
      <c r="H8" s="16">
        <v>50</v>
      </c>
      <c r="I8" s="17">
        <f t="shared" si="0"/>
        <v>50</v>
      </c>
    </row>
    <row r="9" spans="1:9" x14ac:dyDescent="0.25">
      <c r="A9" s="39"/>
      <c r="B9" s="36"/>
      <c r="C9" s="37"/>
      <c r="D9" s="37"/>
      <c r="E9" s="38"/>
      <c r="F9" s="38"/>
      <c r="G9" s="5" t="s">
        <v>78</v>
      </c>
      <c r="H9" s="16">
        <v>40</v>
      </c>
      <c r="I9" s="17">
        <f t="shared" si="0"/>
        <v>40</v>
      </c>
    </row>
    <row r="10" spans="1:9" x14ac:dyDescent="0.25">
      <c r="A10" s="39"/>
      <c r="B10" s="36"/>
      <c r="C10" s="37"/>
      <c r="D10" s="37"/>
      <c r="E10" s="38"/>
      <c r="F10" s="38"/>
      <c r="G10" s="5" t="s">
        <v>79</v>
      </c>
      <c r="H10" s="16">
        <v>198.99</v>
      </c>
      <c r="I10" s="17" t="str">
        <f t="shared" si="0"/>
        <v>Descartado</v>
      </c>
    </row>
    <row r="11" spans="1:9" x14ac:dyDescent="0.25">
      <c r="A11" s="39"/>
      <c r="B11" s="36"/>
      <c r="C11" s="37"/>
      <c r="D11" s="37"/>
      <c r="E11" s="38"/>
      <c r="F11" s="38"/>
      <c r="G11" s="5" t="s">
        <v>80</v>
      </c>
      <c r="H11" s="16">
        <v>200</v>
      </c>
      <c r="I11" s="17" t="str">
        <f t="shared" si="0"/>
        <v>Descartado</v>
      </c>
    </row>
    <row r="12" spans="1:9" x14ac:dyDescent="0.25">
      <c r="A12" s="39"/>
      <c r="B12" s="36"/>
      <c r="C12" s="37"/>
      <c r="D12" s="37"/>
      <c r="E12" s="38"/>
      <c r="F12" s="38"/>
      <c r="G12" s="5" t="s">
        <v>142</v>
      </c>
      <c r="H12" s="16">
        <v>199</v>
      </c>
      <c r="I12" s="17" t="str">
        <f t="shared" si="0"/>
        <v>Descartado</v>
      </c>
    </row>
    <row r="13" spans="1:9" x14ac:dyDescent="0.25">
      <c r="A13" s="39"/>
      <c r="B13" s="36"/>
      <c r="C13" s="37"/>
      <c r="D13" s="37"/>
      <c r="E13" s="38"/>
      <c r="F13" s="38"/>
      <c r="G13" s="5" t="s">
        <v>143</v>
      </c>
      <c r="H13" s="16">
        <v>164.9</v>
      </c>
      <c r="I13" s="17">
        <f t="shared" si="0"/>
        <v>164.9</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11</v>
      </c>
      <c r="B3" s="35" t="s">
        <v>37</v>
      </c>
      <c r="C3" s="37" t="s">
        <v>7</v>
      </c>
      <c r="D3" s="37">
        <v>2</v>
      </c>
      <c r="E3" s="38">
        <f>IF(C20&lt;=25%,D20,MIN(E20:F20))</f>
        <v>317.42</v>
      </c>
      <c r="F3" s="38">
        <f>MIN(H3:H17)</f>
        <v>143.76</v>
      </c>
      <c r="G3" s="5" t="s">
        <v>54</v>
      </c>
      <c r="H3" s="16">
        <v>308.31</v>
      </c>
      <c r="I3" s="17">
        <f>IF(H3="","",(IF($C$20&lt;25%,"n/a",IF(H3&lt;=($D$20+$A$20),H3,"Descartado"))))</f>
        <v>308.31</v>
      </c>
    </row>
    <row r="4" spans="1:9" x14ac:dyDescent="0.25">
      <c r="A4" s="39"/>
      <c r="B4" s="36"/>
      <c r="C4" s="37"/>
      <c r="D4" s="37"/>
      <c r="E4" s="38"/>
      <c r="F4" s="38"/>
      <c r="G4" s="5" t="s">
        <v>81</v>
      </c>
      <c r="H4" s="16">
        <v>283</v>
      </c>
      <c r="I4" s="17">
        <f t="shared" ref="I4:I17" si="0">IF(H4="","",(IF($C$20&lt;25%,"n/a",IF(H4&lt;=($D$20+$A$20),H4,"Descartado"))))</f>
        <v>283</v>
      </c>
    </row>
    <row r="5" spans="1:9" x14ac:dyDescent="0.25">
      <c r="A5" s="39"/>
      <c r="B5" s="36"/>
      <c r="C5" s="37"/>
      <c r="D5" s="37"/>
      <c r="E5" s="38"/>
      <c r="F5" s="38"/>
      <c r="G5" s="5" t="s">
        <v>82</v>
      </c>
      <c r="H5" s="16">
        <v>896</v>
      </c>
      <c r="I5" s="17" t="str">
        <f t="shared" si="0"/>
        <v>Descartado</v>
      </c>
    </row>
    <row r="6" spans="1:9" x14ac:dyDescent="0.25">
      <c r="A6" s="39"/>
      <c r="B6" s="36"/>
      <c r="C6" s="37"/>
      <c r="D6" s="37"/>
      <c r="E6" s="38"/>
      <c r="F6" s="38"/>
      <c r="G6" s="5" t="s">
        <v>55</v>
      </c>
      <c r="H6" s="16">
        <v>949</v>
      </c>
      <c r="I6" s="17" t="str">
        <f t="shared" si="0"/>
        <v>Descartado</v>
      </c>
    </row>
    <row r="7" spans="1:9" x14ac:dyDescent="0.25">
      <c r="A7" s="39"/>
      <c r="B7" s="36"/>
      <c r="C7" s="37"/>
      <c r="D7" s="37"/>
      <c r="E7" s="38"/>
      <c r="F7" s="38"/>
      <c r="G7" s="5" t="s">
        <v>83</v>
      </c>
      <c r="H7" s="16">
        <v>1100</v>
      </c>
      <c r="I7" s="17" t="str">
        <f t="shared" si="0"/>
        <v>Descartado</v>
      </c>
    </row>
    <row r="8" spans="1:9" x14ac:dyDescent="0.25">
      <c r="A8" s="39"/>
      <c r="B8" s="36"/>
      <c r="C8" s="37"/>
      <c r="D8" s="37"/>
      <c r="E8" s="38"/>
      <c r="F8" s="38"/>
      <c r="G8" s="5" t="s">
        <v>84</v>
      </c>
      <c r="H8" s="16">
        <v>412</v>
      </c>
      <c r="I8" s="17">
        <f t="shared" si="0"/>
        <v>412</v>
      </c>
    </row>
    <row r="9" spans="1:9" x14ac:dyDescent="0.25">
      <c r="A9" s="39"/>
      <c r="B9" s="36"/>
      <c r="C9" s="37"/>
      <c r="D9" s="37"/>
      <c r="E9" s="38"/>
      <c r="F9" s="38"/>
      <c r="G9" s="5" t="s">
        <v>85</v>
      </c>
      <c r="H9" s="16">
        <v>328.87</v>
      </c>
      <c r="I9" s="17">
        <f t="shared" si="0"/>
        <v>328.87</v>
      </c>
    </row>
    <row r="10" spans="1:9" x14ac:dyDescent="0.25">
      <c r="A10" s="39"/>
      <c r="B10" s="36"/>
      <c r="C10" s="37"/>
      <c r="D10" s="37"/>
      <c r="E10" s="38"/>
      <c r="F10" s="38"/>
      <c r="G10" s="5" t="s">
        <v>86</v>
      </c>
      <c r="H10" s="16">
        <v>250</v>
      </c>
      <c r="I10" s="17">
        <f t="shared" si="0"/>
        <v>250</v>
      </c>
    </row>
    <row r="11" spans="1:9" x14ac:dyDescent="0.25">
      <c r="A11" s="39"/>
      <c r="B11" s="36"/>
      <c r="C11" s="37"/>
      <c r="D11" s="37"/>
      <c r="E11" s="38"/>
      <c r="F11" s="38"/>
      <c r="G11" s="5" t="s">
        <v>87</v>
      </c>
      <c r="H11" s="16">
        <v>143.76</v>
      </c>
      <c r="I11" s="17">
        <f t="shared" si="0"/>
        <v>143.76</v>
      </c>
    </row>
    <row r="12" spans="1:9" x14ac:dyDescent="0.25">
      <c r="A12" s="39"/>
      <c r="B12" s="36"/>
      <c r="C12" s="37"/>
      <c r="D12" s="37"/>
      <c r="E12" s="38"/>
      <c r="F12" s="38"/>
      <c r="G12" s="5" t="s">
        <v>66</v>
      </c>
      <c r="H12" s="16">
        <v>583.65</v>
      </c>
      <c r="I12" s="17">
        <f t="shared" si="0"/>
        <v>583.65</v>
      </c>
    </row>
    <row r="13" spans="1:9" x14ac:dyDescent="0.25">
      <c r="A13" s="39"/>
      <c r="B13" s="36"/>
      <c r="C13" s="37"/>
      <c r="D13" s="37"/>
      <c r="E13" s="38"/>
      <c r="F13" s="38"/>
      <c r="G13" s="5" t="s">
        <v>88</v>
      </c>
      <c r="H13" s="16">
        <v>376.2</v>
      </c>
      <c r="I13" s="17">
        <f t="shared" si="0"/>
        <v>376.2</v>
      </c>
    </row>
    <row r="14" spans="1:9" x14ac:dyDescent="0.25">
      <c r="A14" s="39"/>
      <c r="B14" s="36"/>
      <c r="C14" s="37"/>
      <c r="D14" s="37"/>
      <c r="E14" s="38"/>
      <c r="F14" s="38"/>
      <c r="G14" s="5" t="s">
        <v>138</v>
      </c>
      <c r="H14" s="16">
        <v>171.03</v>
      </c>
      <c r="I14" s="17">
        <f t="shared" si="0"/>
        <v>171.03</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12</v>
      </c>
      <c r="B3" s="35" t="s">
        <v>38</v>
      </c>
      <c r="C3" s="37" t="s">
        <v>7</v>
      </c>
      <c r="D3" s="37">
        <v>1</v>
      </c>
      <c r="E3" s="38">
        <f>IF(C20&lt;=25%,D20,MIN(E20:F20))</f>
        <v>808.95</v>
      </c>
      <c r="F3" s="38">
        <f>MIN(H3:H17)</f>
        <v>289.89999999999998</v>
      </c>
      <c r="G3" s="5" t="s">
        <v>68</v>
      </c>
      <c r="H3" s="16">
        <v>761.9</v>
      </c>
      <c r="I3" s="17">
        <f>IF(H3="","",(IF($C$20&lt;25%,"n/a",IF(H3&lt;=($D$20+$A$20),H3,"Descartado"))))</f>
        <v>761.9</v>
      </c>
    </row>
    <row r="4" spans="1:9" x14ac:dyDescent="0.25">
      <c r="A4" s="39"/>
      <c r="B4" s="36"/>
      <c r="C4" s="37"/>
      <c r="D4" s="37"/>
      <c r="E4" s="38"/>
      <c r="F4" s="38"/>
      <c r="G4" s="5" t="s">
        <v>89</v>
      </c>
      <c r="H4" s="16">
        <v>748</v>
      </c>
      <c r="I4" s="17">
        <f t="shared" ref="I4:I17" si="0">IF(H4="","",(IF($C$20&lt;25%,"n/a",IF(H4&lt;=($D$20+$A$20),H4,"Descartado"))))</f>
        <v>748</v>
      </c>
    </row>
    <row r="5" spans="1:9" x14ac:dyDescent="0.25">
      <c r="A5" s="39"/>
      <c r="B5" s="36"/>
      <c r="C5" s="37"/>
      <c r="D5" s="37"/>
      <c r="E5" s="38"/>
      <c r="F5" s="38"/>
      <c r="G5" s="5" t="s">
        <v>75</v>
      </c>
      <c r="H5" s="16">
        <v>1880</v>
      </c>
      <c r="I5" s="17" t="str">
        <f t="shared" si="0"/>
        <v>Descartado</v>
      </c>
    </row>
    <row r="6" spans="1:9" x14ac:dyDescent="0.25">
      <c r="A6" s="39"/>
      <c r="B6" s="36"/>
      <c r="C6" s="37"/>
      <c r="D6" s="37"/>
      <c r="E6" s="38"/>
      <c r="F6" s="38"/>
      <c r="G6" s="5" t="s">
        <v>90</v>
      </c>
      <c r="H6" s="16">
        <v>1084.05</v>
      </c>
      <c r="I6" s="17">
        <f t="shared" si="0"/>
        <v>1084.05</v>
      </c>
    </row>
    <row r="7" spans="1:9" x14ac:dyDescent="0.25">
      <c r="A7" s="39"/>
      <c r="B7" s="36"/>
      <c r="C7" s="37"/>
      <c r="D7" s="37"/>
      <c r="E7" s="38"/>
      <c r="F7" s="38"/>
      <c r="G7" s="5" t="s">
        <v>91</v>
      </c>
      <c r="H7" s="16">
        <v>1178</v>
      </c>
      <c r="I7" s="17">
        <f t="shared" si="0"/>
        <v>1178</v>
      </c>
    </row>
    <row r="8" spans="1:9" x14ac:dyDescent="0.25">
      <c r="A8" s="39"/>
      <c r="B8" s="36"/>
      <c r="C8" s="37"/>
      <c r="D8" s="37"/>
      <c r="E8" s="38"/>
      <c r="F8" s="38"/>
      <c r="G8" s="5" t="s">
        <v>92</v>
      </c>
      <c r="H8" s="16">
        <v>1500</v>
      </c>
      <c r="I8" s="17" t="str">
        <f t="shared" si="0"/>
        <v>Descartado</v>
      </c>
    </row>
    <row r="9" spans="1:9" x14ac:dyDescent="0.25">
      <c r="A9" s="39"/>
      <c r="B9" s="36"/>
      <c r="C9" s="37"/>
      <c r="D9" s="37"/>
      <c r="E9" s="38"/>
      <c r="F9" s="38"/>
      <c r="G9" s="5" t="s">
        <v>93</v>
      </c>
      <c r="H9" s="16">
        <v>859</v>
      </c>
      <c r="I9" s="17">
        <f t="shared" si="0"/>
        <v>859</v>
      </c>
    </row>
    <row r="10" spans="1:9" x14ac:dyDescent="0.25">
      <c r="A10" s="39"/>
      <c r="B10" s="36"/>
      <c r="C10" s="37"/>
      <c r="D10" s="37"/>
      <c r="E10" s="38"/>
      <c r="F10" s="38"/>
      <c r="G10" s="5" t="s">
        <v>94</v>
      </c>
      <c r="H10" s="16">
        <v>673.78</v>
      </c>
      <c r="I10" s="17">
        <f t="shared" si="0"/>
        <v>673.78</v>
      </c>
    </row>
    <row r="11" spans="1:9" x14ac:dyDescent="0.25">
      <c r="A11" s="39"/>
      <c r="B11" s="36"/>
      <c r="C11" s="37"/>
      <c r="D11" s="37"/>
      <c r="E11" s="38"/>
      <c r="F11" s="38"/>
      <c r="G11" s="5" t="s">
        <v>144</v>
      </c>
      <c r="H11" s="16">
        <v>877</v>
      </c>
      <c r="I11" s="17">
        <f t="shared" si="0"/>
        <v>877</v>
      </c>
    </row>
    <row r="12" spans="1:9" x14ac:dyDescent="0.25">
      <c r="A12" s="39"/>
      <c r="B12" s="36"/>
      <c r="C12" s="37"/>
      <c r="D12" s="37"/>
      <c r="E12" s="38"/>
      <c r="F12" s="38"/>
      <c r="G12" s="5" t="s">
        <v>145</v>
      </c>
      <c r="H12" s="16">
        <v>289.89999999999998</v>
      </c>
      <c r="I12" s="17">
        <f t="shared" si="0"/>
        <v>289.89999999999998</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13</v>
      </c>
      <c r="B3" s="35" t="s">
        <v>39</v>
      </c>
      <c r="C3" s="37" t="s">
        <v>7</v>
      </c>
      <c r="D3" s="37">
        <v>2</v>
      </c>
      <c r="E3" s="38">
        <f>IF(C20&lt;=25%,D20,MIN(E20:F20))</f>
        <v>733.15</v>
      </c>
      <c r="F3" s="38">
        <f>MIN(H3:H17)</f>
        <v>530</v>
      </c>
      <c r="G3" s="5" t="s">
        <v>95</v>
      </c>
      <c r="H3" s="16">
        <v>2799.98</v>
      </c>
      <c r="I3" s="17" t="str">
        <f>IF(H3="","",(IF($C$20&lt;25%,"n/a",IF(H3&lt;=($D$20+$A$20),H3,"Descartado"))))</f>
        <v>Descartado</v>
      </c>
    </row>
    <row r="4" spans="1:9" x14ac:dyDescent="0.25">
      <c r="A4" s="39"/>
      <c r="B4" s="36"/>
      <c r="C4" s="37"/>
      <c r="D4" s="37"/>
      <c r="E4" s="38"/>
      <c r="F4" s="38"/>
      <c r="G4" s="5" t="s">
        <v>96</v>
      </c>
      <c r="H4" s="16">
        <v>839.76</v>
      </c>
      <c r="I4" s="17">
        <f t="shared" ref="I4:I17" si="0">IF(H4="","",(IF($C$20&lt;25%,"n/a",IF(H4&lt;=($D$20+$A$20),H4,"Descartado"))))</f>
        <v>839.76</v>
      </c>
    </row>
    <row r="5" spans="1:9" x14ac:dyDescent="0.25">
      <c r="A5" s="39"/>
      <c r="B5" s="36"/>
      <c r="C5" s="37"/>
      <c r="D5" s="37"/>
      <c r="E5" s="38"/>
      <c r="F5" s="38"/>
      <c r="G5" s="5" t="s">
        <v>97</v>
      </c>
      <c r="H5" s="16">
        <v>657.09</v>
      </c>
      <c r="I5" s="17">
        <f t="shared" si="0"/>
        <v>657.09</v>
      </c>
    </row>
    <row r="6" spans="1:9" x14ac:dyDescent="0.25">
      <c r="A6" s="39"/>
      <c r="B6" s="36"/>
      <c r="C6" s="37"/>
      <c r="D6" s="37"/>
      <c r="E6" s="38"/>
      <c r="F6" s="38"/>
      <c r="G6" s="5" t="s">
        <v>65</v>
      </c>
      <c r="H6" s="16">
        <v>939</v>
      </c>
      <c r="I6" s="17">
        <f t="shared" si="0"/>
        <v>939</v>
      </c>
    </row>
    <row r="7" spans="1:9" x14ac:dyDescent="0.25">
      <c r="A7" s="39"/>
      <c r="B7" s="36"/>
      <c r="C7" s="37"/>
      <c r="D7" s="37"/>
      <c r="E7" s="38"/>
      <c r="F7" s="38"/>
      <c r="G7" s="5" t="s">
        <v>146</v>
      </c>
      <c r="H7" s="16">
        <v>530</v>
      </c>
      <c r="I7" s="17">
        <f t="shared" si="0"/>
        <v>530</v>
      </c>
    </row>
    <row r="8" spans="1:9" x14ac:dyDescent="0.25">
      <c r="A8" s="39"/>
      <c r="B8" s="36"/>
      <c r="C8" s="37"/>
      <c r="D8" s="37"/>
      <c r="E8" s="38"/>
      <c r="F8" s="38"/>
      <c r="G8" s="5" t="s">
        <v>147</v>
      </c>
      <c r="H8" s="16">
        <v>699.9</v>
      </c>
      <c r="I8" s="17">
        <f t="shared" si="0"/>
        <v>699.9</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14</v>
      </c>
      <c r="B3" s="35" t="s">
        <v>40</v>
      </c>
      <c r="C3" s="37" t="s">
        <v>7</v>
      </c>
      <c r="D3" s="37">
        <v>2</v>
      </c>
      <c r="E3" s="38">
        <f>IF(C20&lt;=25%,D20,MIN(E20:F20))</f>
        <v>450</v>
      </c>
      <c r="F3" s="38">
        <f>MIN(H3:H17)</f>
        <v>305</v>
      </c>
      <c r="G3" s="5" t="s">
        <v>98</v>
      </c>
      <c r="H3" s="16">
        <v>450</v>
      </c>
      <c r="I3" s="17">
        <f>IF(H3="","",(IF($C$20&lt;25%,"n/a",IF(H3&lt;=($D$20+$A$20),H3,"Descartado"))))</f>
        <v>450</v>
      </c>
    </row>
    <row r="4" spans="1:9" x14ac:dyDescent="0.25">
      <c r="A4" s="39"/>
      <c r="B4" s="36"/>
      <c r="C4" s="37"/>
      <c r="D4" s="37"/>
      <c r="E4" s="38"/>
      <c r="F4" s="38"/>
      <c r="G4" s="5" t="s">
        <v>99</v>
      </c>
      <c r="H4" s="16">
        <v>425.7</v>
      </c>
      <c r="I4" s="17">
        <f t="shared" ref="I4:I17" si="0">IF(H4="","",(IF($C$20&lt;25%,"n/a",IF(H4&lt;=($D$20+$A$20),H4,"Descartado"))))</f>
        <v>425.7</v>
      </c>
    </row>
    <row r="5" spans="1:9" x14ac:dyDescent="0.25">
      <c r="A5" s="39"/>
      <c r="B5" s="36"/>
      <c r="C5" s="37"/>
      <c r="D5" s="37"/>
      <c r="E5" s="38"/>
      <c r="F5" s="38"/>
      <c r="G5" s="5" t="s">
        <v>70</v>
      </c>
      <c r="H5" s="16">
        <v>471.67</v>
      </c>
      <c r="I5" s="17">
        <f t="shared" si="0"/>
        <v>471.67</v>
      </c>
    </row>
    <row r="6" spans="1:9" x14ac:dyDescent="0.25">
      <c r="A6" s="39"/>
      <c r="B6" s="36"/>
      <c r="C6" s="37"/>
      <c r="D6" s="37"/>
      <c r="E6" s="38"/>
      <c r="F6" s="38"/>
      <c r="G6" s="5" t="s">
        <v>72</v>
      </c>
      <c r="H6" s="16">
        <v>749.5</v>
      </c>
      <c r="I6" s="17">
        <f t="shared" si="0"/>
        <v>749.5</v>
      </c>
    </row>
    <row r="7" spans="1:9" x14ac:dyDescent="0.25">
      <c r="A7" s="39"/>
      <c r="B7" s="36"/>
      <c r="C7" s="37"/>
      <c r="D7" s="37"/>
      <c r="E7" s="38"/>
      <c r="F7" s="38"/>
      <c r="G7" s="5" t="s">
        <v>100</v>
      </c>
      <c r="H7" s="16">
        <v>4000</v>
      </c>
      <c r="I7" s="17" t="str">
        <f t="shared" si="0"/>
        <v>Descartado</v>
      </c>
    </row>
    <row r="8" spans="1:9" x14ac:dyDescent="0.25">
      <c r="A8" s="39"/>
      <c r="B8" s="36"/>
      <c r="C8" s="37"/>
      <c r="D8" s="37"/>
      <c r="E8" s="38"/>
      <c r="F8" s="38"/>
      <c r="G8" s="5" t="s">
        <v>101</v>
      </c>
      <c r="H8" s="16">
        <v>305</v>
      </c>
      <c r="I8" s="17">
        <f t="shared" si="0"/>
        <v>305</v>
      </c>
    </row>
    <row r="9" spans="1:9" x14ac:dyDescent="0.25">
      <c r="A9" s="39"/>
      <c r="B9" s="36"/>
      <c r="C9" s="37"/>
      <c r="D9" s="37"/>
      <c r="E9" s="38"/>
      <c r="F9" s="38"/>
      <c r="G9" s="5" t="s">
        <v>139</v>
      </c>
      <c r="H9" s="16">
        <v>441</v>
      </c>
      <c r="I9" s="17">
        <f t="shared" si="0"/>
        <v>441</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15</v>
      </c>
      <c r="B3" s="35" t="s">
        <v>41</v>
      </c>
      <c r="C3" s="37" t="s">
        <v>7</v>
      </c>
      <c r="D3" s="37">
        <v>1</v>
      </c>
      <c r="E3" s="38">
        <f>IF(C20&lt;=25%,D20,MIN(E20:F20))</f>
        <v>793.68</v>
      </c>
      <c r="F3" s="38">
        <f>MIN(H3:H17)</f>
        <v>747.75</v>
      </c>
      <c r="G3" s="5" t="s">
        <v>102</v>
      </c>
      <c r="H3" s="16">
        <v>839.6</v>
      </c>
      <c r="I3" s="17">
        <f>IF(H3="","",(IF($C$20&lt;25%,"n/a",IF(H3&lt;=($D$20+$A$20),H3,"Descartado"))))</f>
        <v>839.6</v>
      </c>
    </row>
    <row r="4" spans="1:9" x14ac:dyDescent="0.25">
      <c r="A4" s="39"/>
      <c r="B4" s="36"/>
      <c r="C4" s="37"/>
      <c r="D4" s="37"/>
      <c r="E4" s="38"/>
      <c r="F4" s="38"/>
      <c r="G4" s="5" t="s">
        <v>103</v>
      </c>
      <c r="H4" s="16">
        <v>747.75</v>
      </c>
      <c r="I4" s="17">
        <f t="shared" ref="I4:I17" si="0">IF(H4="","",(IF($C$20&lt;25%,"n/a",IF(H4&lt;=($D$20+$A$20),H4,"Descartado"))))</f>
        <v>747.75</v>
      </c>
    </row>
    <row r="5" spans="1:9" x14ac:dyDescent="0.25">
      <c r="A5" s="39"/>
      <c r="B5" s="36"/>
      <c r="C5" s="37"/>
      <c r="D5" s="37"/>
      <c r="E5" s="38"/>
      <c r="F5" s="38"/>
      <c r="G5" s="5" t="s">
        <v>139</v>
      </c>
      <c r="H5" s="16">
        <v>1201.19</v>
      </c>
      <c r="I5" s="17" t="str">
        <f t="shared" si="0"/>
        <v>Descartado</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16</v>
      </c>
      <c r="B3" s="35" t="s">
        <v>42</v>
      </c>
      <c r="C3" s="37" t="s">
        <v>7</v>
      </c>
      <c r="D3" s="37">
        <v>1</v>
      </c>
      <c r="E3" s="38">
        <f>IF(C20&lt;=25%,D20,MIN(E20:F20))</f>
        <v>2798</v>
      </c>
      <c r="F3" s="38">
        <f>MIN(H3:H17)</f>
        <v>1999</v>
      </c>
      <c r="G3" s="5" t="s">
        <v>104</v>
      </c>
      <c r="H3" s="16">
        <v>43500</v>
      </c>
      <c r="I3" s="17" t="str">
        <f>IF(H3="","",(IF($C$20&lt;25%,"n/a",IF(H3&lt;=($D$20+$A$20),H3,"Descartado"))))</f>
        <v>Descartado</v>
      </c>
    </row>
    <row r="4" spans="1:9" x14ac:dyDescent="0.25">
      <c r="A4" s="39"/>
      <c r="B4" s="36"/>
      <c r="C4" s="37"/>
      <c r="D4" s="37"/>
      <c r="E4" s="38"/>
      <c r="F4" s="38"/>
      <c r="G4" s="5" t="s">
        <v>105</v>
      </c>
      <c r="H4" s="16">
        <v>3750</v>
      </c>
      <c r="I4" s="17">
        <f t="shared" ref="I4:I17" si="0">IF(H4="","",(IF($C$20&lt;25%,"n/a",IF(H4&lt;=($D$20+$A$20),H4,"Descartado"))))</f>
        <v>3750</v>
      </c>
    </row>
    <row r="5" spans="1:9" x14ac:dyDescent="0.25">
      <c r="A5" s="39"/>
      <c r="B5" s="36"/>
      <c r="C5" s="37"/>
      <c r="D5" s="37"/>
      <c r="E5" s="38"/>
      <c r="F5" s="38"/>
      <c r="G5" s="5" t="s">
        <v>106</v>
      </c>
      <c r="H5" s="16">
        <v>2000</v>
      </c>
      <c r="I5" s="17">
        <f t="shared" si="0"/>
        <v>2000</v>
      </c>
    </row>
    <row r="6" spans="1:9" x14ac:dyDescent="0.25">
      <c r="A6" s="39"/>
      <c r="B6" s="36"/>
      <c r="C6" s="37"/>
      <c r="D6" s="37"/>
      <c r="E6" s="38"/>
      <c r="F6" s="38"/>
      <c r="G6" s="5" t="s">
        <v>107</v>
      </c>
      <c r="H6" s="16">
        <v>19250</v>
      </c>
      <c r="I6" s="17">
        <f t="shared" si="0"/>
        <v>19250</v>
      </c>
    </row>
    <row r="7" spans="1:9" x14ac:dyDescent="0.25">
      <c r="A7" s="39"/>
      <c r="B7" s="36"/>
      <c r="C7" s="37"/>
      <c r="D7" s="37"/>
      <c r="E7" s="38"/>
      <c r="F7" s="38"/>
      <c r="G7" s="5" t="s">
        <v>138</v>
      </c>
      <c r="H7" s="16">
        <v>2778.37</v>
      </c>
      <c r="I7" s="17">
        <f t="shared" si="0"/>
        <v>2778.37</v>
      </c>
    </row>
    <row r="8" spans="1:9" x14ac:dyDescent="0.25">
      <c r="A8" s="39"/>
      <c r="B8" s="36"/>
      <c r="C8" s="37"/>
      <c r="D8" s="37"/>
      <c r="E8" s="38"/>
      <c r="F8" s="38"/>
      <c r="G8" s="5" t="s">
        <v>148</v>
      </c>
      <c r="H8" s="16">
        <v>1999</v>
      </c>
      <c r="I8" s="17">
        <f t="shared" si="0"/>
        <v>1999</v>
      </c>
    </row>
    <row r="9" spans="1:9" x14ac:dyDescent="0.25">
      <c r="A9" s="39"/>
      <c r="B9" s="36"/>
      <c r="C9" s="37"/>
      <c r="D9" s="37"/>
      <c r="E9" s="38"/>
      <c r="F9" s="38"/>
      <c r="G9" s="5" t="s">
        <v>149</v>
      </c>
      <c r="H9" s="16">
        <v>2798</v>
      </c>
      <c r="I9" s="17">
        <f t="shared" si="0"/>
        <v>2798</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17</v>
      </c>
      <c r="B3" s="35" t="s">
        <v>43</v>
      </c>
      <c r="C3" s="37" t="s">
        <v>7</v>
      </c>
      <c r="D3" s="37">
        <v>1</v>
      </c>
      <c r="E3" s="38">
        <f>IF(C20&lt;=25%,D20,MIN(E20:F20))</f>
        <v>420.75</v>
      </c>
      <c r="F3" s="38">
        <f>MIN(H3:H17)</f>
        <v>259.99</v>
      </c>
      <c r="G3" s="5" t="s">
        <v>108</v>
      </c>
      <c r="H3" s="16">
        <v>277.01</v>
      </c>
      <c r="I3" s="17">
        <f>IF(H3="","",(IF($C$20&lt;25%,"n/a",IF(H3&lt;=($D$20+$A$20),H3,"Descartado"))))</f>
        <v>277.01</v>
      </c>
    </row>
    <row r="4" spans="1:9" x14ac:dyDescent="0.25">
      <c r="A4" s="39"/>
      <c r="B4" s="36"/>
      <c r="C4" s="37"/>
      <c r="D4" s="37"/>
      <c r="E4" s="38"/>
      <c r="F4" s="38"/>
      <c r="G4" s="5" t="s">
        <v>109</v>
      </c>
      <c r="H4" s="16">
        <v>319</v>
      </c>
      <c r="I4" s="17">
        <f t="shared" ref="I4:I17" si="0">IF(H4="","",(IF($C$20&lt;25%,"n/a",IF(H4&lt;=($D$20+$A$20),H4,"Descartado"))))</f>
        <v>319</v>
      </c>
    </row>
    <row r="5" spans="1:9" x14ac:dyDescent="0.25">
      <c r="A5" s="39"/>
      <c r="B5" s="36"/>
      <c r="C5" s="37"/>
      <c r="D5" s="37"/>
      <c r="E5" s="38"/>
      <c r="F5" s="38"/>
      <c r="G5" s="5" t="s">
        <v>110</v>
      </c>
      <c r="H5" s="16">
        <v>308.55</v>
      </c>
      <c r="I5" s="17">
        <f t="shared" si="0"/>
        <v>308.55</v>
      </c>
    </row>
    <row r="6" spans="1:9" x14ac:dyDescent="0.25">
      <c r="A6" s="39"/>
      <c r="B6" s="36"/>
      <c r="C6" s="37"/>
      <c r="D6" s="37"/>
      <c r="E6" s="38"/>
      <c r="F6" s="38"/>
      <c r="G6" s="5" t="s">
        <v>56</v>
      </c>
      <c r="H6" s="16">
        <v>637.03</v>
      </c>
      <c r="I6" s="17">
        <f t="shared" si="0"/>
        <v>637.03</v>
      </c>
    </row>
    <row r="7" spans="1:9" x14ac:dyDescent="0.25">
      <c r="A7" s="39"/>
      <c r="B7" s="36"/>
      <c r="C7" s="37"/>
      <c r="D7" s="37"/>
      <c r="E7" s="38"/>
      <c r="F7" s="38"/>
      <c r="G7" s="5" t="s">
        <v>111</v>
      </c>
      <c r="H7" s="16">
        <v>4678</v>
      </c>
      <c r="I7" s="17" t="str">
        <f t="shared" si="0"/>
        <v>Descartado</v>
      </c>
    </row>
    <row r="8" spans="1:9" x14ac:dyDescent="0.25">
      <c r="A8" s="39"/>
      <c r="B8" s="36"/>
      <c r="C8" s="37"/>
      <c r="D8" s="37"/>
      <c r="E8" s="38"/>
      <c r="F8" s="38"/>
      <c r="G8" s="5" t="s">
        <v>79</v>
      </c>
      <c r="H8" s="16">
        <v>573.75</v>
      </c>
      <c r="I8" s="17">
        <f t="shared" si="0"/>
        <v>573.75</v>
      </c>
    </row>
    <row r="9" spans="1:9" x14ac:dyDescent="0.25">
      <c r="A9" s="39"/>
      <c r="B9" s="36"/>
      <c r="C9" s="37"/>
      <c r="D9" s="37"/>
      <c r="E9" s="38"/>
      <c r="F9" s="38"/>
      <c r="G9" s="5" t="s">
        <v>144</v>
      </c>
      <c r="H9" s="16">
        <v>259.99</v>
      </c>
      <c r="I9" s="17">
        <f t="shared" si="0"/>
        <v>259.99</v>
      </c>
    </row>
    <row r="10" spans="1:9" x14ac:dyDescent="0.25">
      <c r="A10" s="39"/>
      <c r="B10" s="36"/>
      <c r="C10" s="37"/>
      <c r="D10" s="37"/>
      <c r="E10" s="38"/>
      <c r="F10" s="38"/>
      <c r="G10" s="5" t="s">
        <v>150</v>
      </c>
      <c r="H10" s="16">
        <v>569.91</v>
      </c>
      <c r="I10" s="17">
        <f t="shared" si="0"/>
        <v>569.91</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18</v>
      </c>
      <c r="B3" s="35" t="s">
        <v>44</v>
      </c>
      <c r="C3" s="37" t="s">
        <v>7</v>
      </c>
      <c r="D3" s="37">
        <v>1</v>
      </c>
      <c r="E3" s="38">
        <f>IF(C20&lt;=25%,D20,MIN(E20:F20))</f>
        <v>93.27</v>
      </c>
      <c r="F3" s="38">
        <f>MIN(H3:H17)</f>
        <v>31.88</v>
      </c>
      <c r="G3" s="5" t="s">
        <v>112</v>
      </c>
      <c r="H3" s="16">
        <v>60</v>
      </c>
      <c r="I3" s="17">
        <f>IF(H3="","",(IF($C$20&lt;25%,"n/a",IF(H3&lt;=($D$20+$A$20),H3,"Descartado"))))</f>
        <v>60</v>
      </c>
    </row>
    <row r="4" spans="1:9" x14ac:dyDescent="0.25">
      <c r="A4" s="39"/>
      <c r="B4" s="36"/>
      <c r="C4" s="37"/>
      <c r="D4" s="37"/>
      <c r="E4" s="38"/>
      <c r="F4" s="38"/>
      <c r="G4" s="5" t="s">
        <v>113</v>
      </c>
      <c r="H4" s="16">
        <v>212.4</v>
      </c>
      <c r="I4" s="17">
        <f t="shared" ref="I4:I17" si="0">IF(H4="","",(IF($C$20&lt;25%,"n/a",IF(H4&lt;=($D$20+$A$20),H4,"Descartado"))))</f>
        <v>212.4</v>
      </c>
    </row>
    <row r="5" spans="1:9" x14ac:dyDescent="0.25">
      <c r="A5" s="39"/>
      <c r="B5" s="36"/>
      <c r="C5" s="37"/>
      <c r="D5" s="37"/>
      <c r="E5" s="38"/>
      <c r="F5" s="38"/>
      <c r="G5" s="5" t="s">
        <v>114</v>
      </c>
      <c r="H5" s="16">
        <v>34.99</v>
      </c>
      <c r="I5" s="17">
        <f t="shared" si="0"/>
        <v>34.99</v>
      </c>
    </row>
    <row r="6" spans="1:9" x14ac:dyDescent="0.25">
      <c r="A6" s="39"/>
      <c r="B6" s="36"/>
      <c r="C6" s="37"/>
      <c r="D6" s="37"/>
      <c r="E6" s="38"/>
      <c r="F6" s="38"/>
      <c r="G6" s="5" t="s">
        <v>115</v>
      </c>
      <c r="H6" s="16">
        <v>31.88</v>
      </c>
      <c r="I6" s="17">
        <f t="shared" si="0"/>
        <v>31.88</v>
      </c>
    </row>
    <row r="7" spans="1:9" x14ac:dyDescent="0.25">
      <c r="A7" s="39"/>
      <c r="B7" s="36"/>
      <c r="C7" s="37"/>
      <c r="D7" s="37"/>
      <c r="E7" s="38"/>
      <c r="F7" s="38"/>
      <c r="G7" s="5" t="s">
        <v>116</v>
      </c>
      <c r="H7" s="16">
        <v>157</v>
      </c>
      <c r="I7" s="17">
        <f t="shared" si="0"/>
        <v>157</v>
      </c>
    </row>
    <row r="8" spans="1:9" x14ac:dyDescent="0.25">
      <c r="A8" s="39"/>
      <c r="B8" s="36"/>
      <c r="C8" s="37"/>
      <c r="D8" s="37"/>
      <c r="E8" s="38"/>
      <c r="F8" s="38"/>
      <c r="G8" s="5" t="s">
        <v>117</v>
      </c>
      <c r="H8" s="16">
        <v>32.08</v>
      </c>
      <c r="I8" s="17">
        <f t="shared" si="0"/>
        <v>32.08</v>
      </c>
    </row>
    <row r="9" spans="1:9" x14ac:dyDescent="0.25">
      <c r="A9" s="39"/>
      <c r="B9" s="36"/>
      <c r="C9" s="37"/>
      <c r="D9" s="37"/>
      <c r="E9" s="38"/>
      <c r="F9" s="38"/>
      <c r="G9" s="5" t="s">
        <v>118</v>
      </c>
      <c r="H9" s="16">
        <v>625.9</v>
      </c>
      <c r="I9" s="17" t="str">
        <f t="shared" si="0"/>
        <v>Descartado</v>
      </c>
    </row>
    <row r="10" spans="1:9" x14ac:dyDescent="0.25">
      <c r="A10" s="39"/>
      <c r="B10" s="36"/>
      <c r="C10" s="37"/>
      <c r="D10" s="37"/>
      <c r="E10" s="38"/>
      <c r="F10" s="38"/>
      <c r="G10" s="5" t="s">
        <v>144</v>
      </c>
      <c r="H10" s="16">
        <v>115.87</v>
      </c>
      <c r="I10" s="17">
        <f t="shared" si="0"/>
        <v>115.87</v>
      </c>
    </row>
    <row r="11" spans="1:9" x14ac:dyDescent="0.25">
      <c r="A11" s="39"/>
      <c r="B11" s="36"/>
      <c r="C11" s="37"/>
      <c r="D11" s="37"/>
      <c r="E11" s="38"/>
      <c r="F11" s="38"/>
      <c r="G11" s="5" t="s">
        <v>150</v>
      </c>
      <c r="H11" s="16">
        <v>101.9</v>
      </c>
      <c r="I11" s="17">
        <f t="shared" si="0"/>
        <v>101.9</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19</v>
      </c>
      <c r="B3" s="35" t="s">
        <v>45</v>
      </c>
      <c r="C3" s="37" t="s">
        <v>7</v>
      </c>
      <c r="D3" s="37">
        <v>2</v>
      </c>
      <c r="E3" s="38">
        <f>IF(C20&lt;=25%,D20,MIN(E20:F20))</f>
        <v>741.85</v>
      </c>
      <c r="F3" s="38">
        <f>MIN(H3:H17)</f>
        <v>569.99</v>
      </c>
      <c r="G3" s="5" t="s">
        <v>144</v>
      </c>
      <c r="H3" s="16">
        <v>1096.79</v>
      </c>
      <c r="I3" s="17" t="str">
        <f>IF(H3="","",(IF($C$20&lt;25%,"n/a",IF(H3&lt;=($D$20+$A$20),H3,"Descartado"))))</f>
        <v>Descartado</v>
      </c>
    </row>
    <row r="4" spans="1:9" x14ac:dyDescent="0.25">
      <c r="A4" s="39"/>
      <c r="B4" s="36"/>
      <c r="C4" s="37"/>
      <c r="D4" s="37"/>
      <c r="E4" s="38"/>
      <c r="F4" s="38"/>
      <c r="G4" s="5" t="s">
        <v>139</v>
      </c>
      <c r="H4" s="16">
        <v>998.9</v>
      </c>
      <c r="I4" s="17">
        <f t="shared" ref="I4:I17" si="0">IF(H4="","",(IF($C$20&lt;25%,"n/a",IF(H4&lt;=($D$20+$A$20),H4,"Descartado"))))</f>
        <v>998.9</v>
      </c>
    </row>
    <row r="5" spans="1:9" x14ac:dyDescent="0.25">
      <c r="A5" s="39"/>
      <c r="B5" s="36"/>
      <c r="C5" s="37"/>
      <c r="D5" s="37"/>
      <c r="E5" s="38"/>
      <c r="F5" s="38"/>
      <c r="G5" s="5" t="s">
        <v>151</v>
      </c>
      <c r="H5" s="16">
        <v>569.99</v>
      </c>
      <c r="I5" s="17">
        <f t="shared" si="0"/>
        <v>569.99</v>
      </c>
    </row>
    <row r="6" spans="1:9" x14ac:dyDescent="0.25">
      <c r="A6" s="39"/>
      <c r="B6" s="36"/>
      <c r="C6" s="37"/>
      <c r="D6" s="37"/>
      <c r="E6" s="38"/>
      <c r="F6" s="38"/>
      <c r="G6" s="5" t="s">
        <v>152</v>
      </c>
      <c r="H6" s="16">
        <v>599</v>
      </c>
      <c r="I6" s="17">
        <f t="shared" si="0"/>
        <v>599</v>
      </c>
    </row>
    <row r="7" spans="1:9" x14ac:dyDescent="0.25">
      <c r="A7" s="39"/>
      <c r="B7" s="36"/>
      <c r="C7" s="37"/>
      <c r="D7" s="37"/>
      <c r="E7" s="38"/>
      <c r="F7" s="38"/>
      <c r="G7" s="5" t="s">
        <v>153</v>
      </c>
      <c r="H7" s="16">
        <v>799.49</v>
      </c>
      <c r="I7" s="17">
        <f t="shared" si="0"/>
        <v>799.49</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8" sqref="G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2</v>
      </c>
      <c r="B3" s="35" t="s">
        <v>173</v>
      </c>
      <c r="C3" s="37" t="s">
        <v>7</v>
      </c>
      <c r="D3" s="37">
        <f>30*2</f>
        <v>60</v>
      </c>
      <c r="E3" s="38">
        <f>IF(C20&lt;=25%,D20,MIN(E20:F20))</f>
        <v>5000</v>
      </c>
      <c r="F3" s="38">
        <f>MIN(H3:H17)</f>
        <v>3976.44</v>
      </c>
      <c r="G3" s="5" t="s">
        <v>179</v>
      </c>
      <c r="H3" s="16">
        <f>331.37*12</f>
        <v>3976.44</v>
      </c>
      <c r="I3" s="17">
        <f>IF(H3="","",(IF($C$20&lt;25%,"n/a",IF(H3&lt;=($D$20+$A$20),H3,"Descartado"))))</f>
        <v>3976.44</v>
      </c>
    </row>
    <row r="4" spans="1:9" x14ac:dyDescent="0.25">
      <c r="A4" s="39"/>
      <c r="B4" s="36"/>
      <c r="C4" s="37"/>
      <c r="D4" s="37"/>
      <c r="E4" s="38"/>
      <c r="F4" s="38"/>
      <c r="G4" s="5" t="s">
        <v>181</v>
      </c>
      <c r="H4" s="16">
        <f>780*12</f>
        <v>9360</v>
      </c>
      <c r="I4" s="17">
        <f t="shared" ref="I4:I17" si="0">IF(H4="","",(IF($C$20&lt;25%,"n/a",IF(H4&lt;=($D$20+$A$20),H4,"Descartado"))))</f>
        <v>9360</v>
      </c>
    </row>
    <row r="5" spans="1:9" x14ac:dyDescent="0.25">
      <c r="A5" s="39"/>
      <c r="B5" s="36"/>
      <c r="C5" s="37"/>
      <c r="D5" s="37"/>
      <c r="E5" s="38"/>
      <c r="F5" s="38"/>
      <c r="G5" s="5" t="s">
        <v>188</v>
      </c>
      <c r="H5" s="16">
        <f>12996</f>
        <v>12996</v>
      </c>
      <c r="I5" s="17" t="str">
        <f t="shared" si="0"/>
        <v>Descartado</v>
      </c>
    </row>
    <row r="6" spans="1:9" x14ac:dyDescent="0.25">
      <c r="A6" s="39"/>
      <c r="B6" s="36"/>
      <c r="C6" s="37"/>
      <c r="D6" s="37"/>
      <c r="E6" s="38"/>
      <c r="F6" s="38"/>
      <c r="G6" s="5" t="s">
        <v>187</v>
      </c>
      <c r="H6" s="16">
        <f>416.6666*12</f>
        <v>4999.9992000000002</v>
      </c>
      <c r="I6" s="17">
        <f t="shared" si="0"/>
        <v>4999.9992000000002</v>
      </c>
    </row>
    <row r="7" spans="1:9" x14ac:dyDescent="0.25">
      <c r="A7" s="39"/>
      <c r="B7" s="36"/>
      <c r="C7" s="37"/>
      <c r="D7" s="37"/>
      <c r="E7" s="38"/>
      <c r="F7" s="38"/>
      <c r="G7" s="5" t="s">
        <v>189</v>
      </c>
      <c r="H7" s="16">
        <f>375*12</f>
        <v>4500</v>
      </c>
      <c r="I7" s="17">
        <f t="shared" si="0"/>
        <v>4500</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3897.9142906579314</v>
      </c>
      <c r="B20" s="8">
        <f>COUNT(H3:H17)</f>
        <v>5</v>
      </c>
      <c r="C20" s="9">
        <f>IF(B20&lt;2,"n/a",(A20/D20))</f>
        <v>0.54390842527624139</v>
      </c>
      <c r="D20" s="10">
        <f>IFERROR(ROUND(AVERAGE(H3:H17),2),"")</f>
        <v>7166.49</v>
      </c>
      <c r="E20" s="15">
        <f>IFERROR(ROUND(IF(B20&lt;2,"n/a",(IF(C20&lt;=25%,"n/a",AVERAGE(I3:I17)))),2),"n/a")</f>
        <v>5709.11</v>
      </c>
      <c r="F20" s="10">
        <f>IFERROR(ROUND(MEDIAN(H3:H17),2),"")</f>
        <v>5000</v>
      </c>
      <c r="G20" s="11" t="str">
        <f>IFERROR(INDEX(G3:G17,MATCH(H20,H3:H17,0)),"")</f>
        <v>TECHNOCOPY SERVICE LTDA</v>
      </c>
      <c r="H20" s="12">
        <f>F3</f>
        <v>3976.44</v>
      </c>
    </row>
    <row r="22" spans="1:9" x14ac:dyDescent="0.25">
      <c r="G22" s="13" t="s">
        <v>20</v>
      </c>
      <c r="H22" s="14">
        <f>IF(C20&lt;=25%,D20,MIN(E20:F20))</f>
        <v>5000</v>
      </c>
    </row>
    <row r="23" spans="1:9" x14ac:dyDescent="0.25">
      <c r="G23" s="13" t="s">
        <v>6</v>
      </c>
      <c r="H23" s="14">
        <f>ROUND(H22,2)*D3</f>
        <v>300000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20</v>
      </c>
      <c r="B3" s="35" t="s">
        <v>46</v>
      </c>
      <c r="C3" s="37" t="s">
        <v>7</v>
      </c>
      <c r="D3" s="37">
        <v>8</v>
      </c>
      <c r="E3" s="38">
        <f>IF(C20&lt;=25%,D20,MIN(E20:F20))</f>
        <v>1288.28</v>
      </c>
      <c r="F3" s="38">
        <f>MIN(H3:H17)</f>
        <v>990</v>
      </c>
      <c r="G3" s="5" t="s">
        <v>154</v>
      </c>
      <c r="H3" s="16">
        <v>990</v>
      </c>
      <c r="I3" s="17" t="str">
        <f>IF(H3="","",(IF($C$20&lt;25%,"n/a",IF(H3&lt;=($D$20+$A$20),H3,"Descartado"))))</f>
        <v>n/a</v>
      </c>
    </row>
    <row r="4" spans="1:9" x14ac:dyDescent="0.25">
      <c r="A4" s="39"/>
      <c r="B4" s="36"/>
      <c r="C4" s="37"/>
      <c r="D4" s="37"/>
      <c r="E4" s="38"/>
      <c r="F4" s="38"/>
      <c r="G4" s="5" t="s">
        <v>155</v>
      </c>
      <c r="H4" s="16">
        <v>1399</v>
      </c>
      <c r="I4" s="17" t="str">
        <f t="shared" ref="I4:I17" si="0">IF(H4="","",(IF($C$20&lt;25%,"n/a",IF(H4&lt;=($D$20+$A$20),H4,"Descartado"))))</f>
        <v>n/a</v>
      </c>
    </row>
    <row r="5" spans="1:9" x14ac:dyDescent="0.25">
      <c r="A5" s="39"/>
      <c r="B5" s="36"/>
      <c r="C5" s="37"/>
      <c r="D5" s="37"/>
      <c r="E5" s="38"/>
      <c r="F5" s="38"/>
      <c r="G5" s="5" t="s">
        <v>156</v>
      </c>
      <c r="H5" s="16">
        <v>1265.0999999999999</v>
      </c>
      <c r="I5" s="17" t="str">
        <f t="shared" si="0"/>
        <v>n/a</v>
      </c>
    </row>
    <row r="6" spans="1:9" x14ac:dyDescent="0.25">
      <c r="A6" s="39"/>
      <c r="B6" s="36"/>
      <c r="C6" s="37"/>
      <c r="D6" s="37"/>
      <c r="E6" s="38"/>
      <c r="F6" s="38"/>
      <c r="G6" s="5" t="s">
        <v>157</v>
      </c>
      <c r="H6" s="16">
        <v>1499</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21</v>
      </c>
      <c r="B3" s="35" t="s">
        <v>47</v>
      </c>
      <c r="C3" s="37" t="s">
        <v>7</v>
      </c>
      <c r="D3" s="37">
        <v>2</v>
      </c>
      <c r="E3" s="38">
        <f>IF(C20&lt;=25%,D20,MIN(E20:F20))</f>
        <v>454.84</v>
      </c>
      <c r="F3" s="38">
        <f>MIN(H3:H17)</f>
        <v>136</v>
      </c>
      <c r="G3" s="5" t="s">
        <v>119</v>
      </c>
      <c r="H3" s="16">
        <v>136</v>
      </c>
      <c r="I3" s="17">
        <f>IF(H3="","",(IF($C$20&lt;25%,"n/a",IF(H3&lt;=($D$20+$A$20),H3,"Descartado"))))</f>
        <v>136</v>
      </c>
    </row>
    <row r="4" spans="1:9" x14ac:dyDescent="0.25">
      <c r="A4" s="39"/>
      <c r="B4" s="36"/>
      <c r="C4" s="37"/>
      <c r="D4" s="37"/>
      <c r="E4" s="38"/>
      <c r="F4" s="38"/>
      <c r="G4" s="5" t="s">
        <v>120</v>
      </c>
      <c r="H4" s="16">
        <v>200</v>
      </c>
      <c r="I4" s="17">
        <f t="shared" ref="I4:I17" si="0">IF(H4="","",(IF($C$20&lt;25%,"n/a",IF(H4&lt;=($D$20+$A$20),H4,"Descartado"))))</f>
        <v>200</v>
      </c>
    </row>
    <row r="5" spans="1:9" x14ac:dyDescent="0.25">
      <c r="A5" s="39"/>
      <c r="B5" s="36"/>
      <c r="C5" s="37"/>
      <c r="D5" s="37"/>
      <c r="E5" s="38"/>
      <c r="F5" s="38"/>
      <c r="G5" s="5" t="s">
        <v>121</v>
      </c>
      <c r="H5" s="16">
        <v>300.99</v>
      </c>
      <c r="I5" s="17">
        <f t="shared" si="0"/>
        <v>300.99</v>
      </c>
    </row>
    <row r="6" spans="1:9" x14ac:dyDescent="0.25">
      <c r="A6" s="39"/>
      <c r="B6" s="36"/>
      <c r="C6" s="37"/>
      <c r="D6" s="37"/>
      <c r="E6" s="38"/>
      <c r="F6" s="38"/>
      <c r="G6" s="5" t="s">
        <v>122</v>
      </c>
      <c r="H6" s="16">
        <v>455</v>
      </c>
      <c r="I6" s="17">
        <f t="shared" si="0"/>
        <v>455</v>
      </c>
    </row>
    <row r="7" spans="1:9" x14ac:dyDescent="0.25">
      <c r="A7" s="39"/>
      <c r="B7" s="36"/>
      <c r="C7" s="37"/>
      <c r="D7" s="37"/>
      <c r="E7" s="38"/>
      <c r="F7" s="38"/>
      <c r="G7" s="5" t="s">
        <v>57</v>
      </c>
      <c r="H7" s="16">
        <v>554</v>
      </c>
      <c r="I7" s="17">
        <f t="shared" si="0"/>
        <v>554</v>
      </c>
    </row>
    <row r="8" spans="1:9" x14ac:dyDescent="0.25">
      <c r="A8" s="39"/>
      <c r="B8" s="36"/>
      <c r="C8" s="37"/>
      <c r="D8" s="37"/>
      <c r="E8" s="38"/>
      <c r="F8" s="38"/>
      <c r="G8" s="5" t="s">
        <v>102</v>
      </c>
      <c r="H8" s="16">
        <v>650.94000000000005</v>
      </c>
      <c r="I8" s="17">
        <f t="shared" si="0"/>
        <v>650.94000000000005</v>
      </c>
    </row>
    <row r="9" spans="1:9" x14ac:dyDescent="0.25">
      <c r="A9" s="39"/>
      <c r="B9" s="36"/>
      <c r="C9" s="37"/>
      <c r="D9" s="37"/>
      <c r="E9" s="38"/>
      <c r="F9" s="38"/>
      <c r="G9" s="5" t="s">
        <v>123</v>
      </c>
      <c r="H9" s="16">
        <v>683.75</v>
      </c>
      <c r="I9" s="17">
        <f t="shared" si="0"/>
        <v>683.75</v>
      </c>
    </row>
    <row r="10" spans="1:9" x14ac:dyDescent="0.25">
      <c r="A10" s="39"/>
      <c r="B10" s="36"/>
      <c r="C10" s="37"/>
      <c r="D10" s="37"/>
      <c r="E10" s="38"/>
      <c r="F10" s="38"/>
      <c r="G10" s="5" t="s">
        <v>124</v>
      </c>
      <c r="H10" s="16">
        <v>687</v>
      </c>
      <c r="I10" s="17">
        <f t="shared" si="0"/>
        <v>687</v>
      </c>
    </row>
    <row r="11" spans="1:9" x14ac:dyDescent="0.25">
      <c r="A11" s="39"/>
      <c r="B11" s="36"/>
      <c r="C11" s="37"/>
      <c r="D11" s="37"/>
      <c r="E11" s="38"/>
      <c r="F11" s="38"/>
      <c r="G11" s="5" t="s">
        <v>158</v>
      </c>
      <c r="H11" s="16">
        <v>565.11</v>
      </c>
      <c r="I11" s="17">
        <f t="shared" si="0"/>
        <v>565.11</v>
      </c>
    </row>
    <row r="12" spans="1:9" x14ac:dyDescent="0.25">
      <c r="A12" s="39"/>
      <c r="B12" s="36"/>
      <c r="C12" s="37"/>
      <c r="D12" s="37"/>
      <c r="E12" s="38"/>
      <c r="F12" s="38"/>
      <c r="G12" s="5" t="s">
        <v>137</v>
      </c>
      <c r="H12" s="16">
        <v>750</v>
      </c>
      <c r="I12" s="17" t="str">
        <f t="shared" si="0"/>
        <v>Descartado</v>
      </c>
    </row>
    <row r="13" spans="1:9" x14ac:dyDescent="0.25">
      <c r="A13" s="39"/>
      <c r="B13" s="36"/>
      <c r="C13" s="37"/>
      <c r="D13" s="37"/>
      <c r="E13" s="38"/>
      <c r="F13" s="38"/>
      <c r="G13" s="5" t="s">
        <v>159</v>
      </c>
      <c r="H13" s="16">
        <v>197.99</v>
      </c>
      <c r="I13" s="17">
        <f t="shared" si="0"/>
        <v>197.99</v>
      </c>
    </row>
    <row r="14" spans="1:9" x14ac:dyDescent="0.25">
      <c r="A14" s="39"/>
      <c r="B14" s="36"/>
      <c r="C14" s="37"/>
      <c r="D14" s="37"/>
      <c r="E14" s="38"/>
      <c r="F14" s="38"/>
      <c r="G14" s="5" t="s">
        <v>160</v>
      </c>
      <c r="H14" s="16">
        <v>572.5</v>
      </c>
      <c r="I14" s="17">
        <f t="shared" si="0"/>
        <v>572.5</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22</v>
      </c>
      <c r="B3" s="35" t="s">
        <v>48</v>
      </c>
      <c r="C3" s="37" t="s">
        <v>7</v>
      </c>
      <c r="D3" s="37">
        <v>15</v>
      </c>
      <c r="E3" s="38">
        <f>IF(C20&lt;=25%,D20,MIN(E20:F20))</f>
        <v>1692.18</v>
      </c>
      <c r="F3" s="38">
        <f>MIN(H3:H17)</f>
        <v>900.9</v>
      </c>
      <c r="G3" s="5" t="s">
        <v>97</v>
      </c>
      <c r="H3" s="16">
        <v>900.9</v>
      </c>
      <c r="I3" s="17">
        <f>IF(H3="","",(IF($C$20&lt;25%,"n/a",IF(H3&lt;=($D$20+$A$20),H3,"Descartado"))))</f>
        <v>900.9</v>
      </c>
    </row>
    <row r="4" spans="1:9" x14ac:dyDescent="0.25">
      <c r="A4" s="39"/>
      <c r="B4" s="36"/>
      <c r="C4" s="37"/>
      <c r="D4" s="37"/>
      <c r="E4" s="38"/>
      <c r="F4" s="38"/>
      <c r="G4" s="5" t="s">
        <v>125</v>
      </c>
      <c r="H4" s="16">
        <v>1650</v>
      </c>
      <c r="I4" s="17">
        <f t="shared" ref="I4:I17" si="0">IF(H4="","",(IF($C$20&lt;25%,"n/a",IF(H4&lt;=($D$20+$A$20),H4,"Descartado"))))</f>
        <v>1650</v>
      </c>
    </row>
    <row r="5" spans="1:9" x14ac:dyDescent="0.25">
      <c r="A5" s="39"/>
      <c r="B5" s="36"/>
      <c r="C5" s="37"/>
      <c r="D5" s="37"/>
      <c r="E5" s="38"/>
      <c r="F5" s="38"/>
      <c r="G5" s="5" t="s">
        <v>106</v>
      </c>
      <c r="H5" s="16">
        <v>2399</v>
      </c>
      <c r="I5" s="17">
        <f t="shared" si="0"/>
        <v>2399</v>
      </c>
    </row>
    <row r="6" spans="1:9" x14ac:dyDescent="0.25">
      <c r="A6" s="39"/>
      <c r="B6" s="36"/>
      <c r="C6" s="37"/>
      <c r="D6" s="37"/>
      <c r="E6" s="38"/>
      <c r="F6" s="38"/>
      <c r="G6" s="5" t="s">
        <v>126</v>
      </c>
      <c r="H6" s="16">
        <v>3034</v>
      </c>
      <c r="I6" s="17" t="str">
        <f t="shared" si="0"/>
        <v>Descartado</v>
      </c>
    </row>
    <row r="7" spans="1:9" x14ac:dyDescent="0.25">
      <c r="A7" s="39"/>
      <c r="B7" s="36"/>
      <c r="C7" s="37"/>
      <c r="D7" s="37"/>
      <c r="E7" s="38"/>
      <c r="F7" s="38"/>
      <c r="G7" s="5" t="s">
        <v>161</v>
      </c>
      <c r="H7" s="16">
        <v>2019</v>
      </c>
      <c r="I7" s="17">
        <f t="shared" si="0"/>
        <v>2019</v>
      </c>
    </row>
    <row r="8" spans="1:9" x14ac:dyDescent="0.25">
      <c r="A8" s="39"/>
      <c r="B8" s="36"/>
      <c r="C8" s="37"/>
      <c r="D8" s="37"/>
      <c r="E8" s="38"/>
      <c r="F8" s="38"/>
      <c r="G8" s="5" t="s">
        <v>162</v>
      </c>
      <c r="H8" s="16">
        <v>1492</v>
      </c>
      <c r="I8" s="17">
        <f t="shared" si="0"/>
        <v>1492</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23</v>
      </c>
      <c r="B3" s="35" t="s">
        <v>49</v>
      </c>
      <c r="C3" s="37" t="s">
        <v>7</v>
      </c>
      <c r="D3" s="37">
        <v>1</v>
      </c>
      <c r="E3" s="38">
        <f>IF(C20&lt;=25%,D20,MIN(E20:F20))</f>
        <v>2269.12</v>
      </c>
      <c r="F3" s="38">
        <f>MIN(H3:H17)</f>
        <v>1299</v>
      </c>
      <c r="G3" s="5" t="s">
        <v>127</v>
      </c>
      <c r="H3" s="16">
        <v>1299</v>
      </c>
      <c r="I3" s="17">
        <f>IF(H3="","",(IF($C$20&lt;25%,"n/a",IF(H3&lt;=($D$20+$A$20),H3,"Descartado"))))</f>
        <v>1299</v>
      </c>
    </row>
    <row r="4" spans="1:9" x14ac:dyDescent="0.25">
      <c r="A4" s="39"/>
      <c r="B4" s="36"/>
      <c r="C4" s="37"/>
      <c r="D4" s="37"/>
      <c r="E4" s="38"/>
      <c r="F4" s="38"/>
      <c r="G4" s="5" t="s">
        <v>68</v>
      </c>
      <c r="H4" s="16">
        <v>1689</v>
      </c>
      <c r="I4" s="17">
        <f t="shared" ref="I4:I17" si="0">IF(H4="","",(IF($C$20&lt;25%,"n/a",IF(H4&lt;=($D$20+$A$20),H4,"Descartado"))))</f>
        <v>1689</v>
      </c>
    </row>
    <row r="5" spans="1:9" x14ac:dyDescent="0.25">
      <c r="A5" s="39"/>
      <c r="B5" s="36"/>
      <c r="C5" s="37"/>
      <c r="D5" s="37"/>
      <c r="E5" s="38"/>
      <c r="F5" s="38"/>
      <c r="G5" s="5" t="s">
        <v>99</v>
      </c>
      <c r="H5" s="16">
        <v>4779.97</v>
      </c>
      <c r="I5" s="17" t="str">
        <f t="shared" si="0"/>
        <v>Descartado</v>
      </c>
    </row>
    <row r="6" spans="1:9" x14ac:dyDescent="0.25">
      <c r="A6" s="39"/>
      <c r="B6" s="36"/>
      <c r="C6" s="37"/>
      <c r="D6" s="37"/>
      <c r="E6" s="38"/>
      <c r="F6" s="38"/>
      <c r="G6" s="5" t="s">
        <v>128</v>
      </c>
      <c r="H6" s="16">
        <v>4768</v>
      </c>
      <c r="I6" s="17" t="str">
        <f t="shared" si="0"/>
        <v>Descartado</v>
      </c>
    </row>
    <row r="7" spans="1:9" x14ac:dyDescent="0.25">
      <c r="A7" s="39"/>
      <c r="B7" s="36"/>
      <c r="C7" s="37"/>
      <c r="D7" s="37"/>
      <c r="E7" s="38"/>
      <c r="F7" s="38"/>
      <c r="G7" s="5" t="s">
        <v>163</v>
      </c>
      <c r="H7" s="16">
        <v>2249.1</v>
      </c>
      <c r="I7" s="17">
        <f t="shared" si="0"/>
        <v>2249.1</v>
      </c>
    </row>
    <row r="8" spans="1:9" x14ac:dyDescent="0.25">
      <c r="A8" s="39"/>
      <c r="B8" s="36"/>
      <c r="C8" s="37"/>
      <c r="D8" s="37"/>
      <c r="E8" s="38"/>
      <c r="F8" s="38"/>
      <c r="G8" s="5" t="s">
        <v>164</v>
      </c>
      <c r="H8" s="16">
        <v>2554.9899999999998</v>
      </c>
      <c r="I8" s="17">
        <f t="shared" si="0"/>
        <v>2554.9899999999998</v>
      </c>
    </row>
    <row r="9" spans="1:9" x14ac:dyDescent="0.25">
      <c r="A9" s="39"/>
      <c r="B9" s="36"/>
      <c r="C9" s="37"/>
      <c r="D9" s="37"/>
      <c r="E9" s="38"/>
      <c r="F9" s="38"/>
      <c r="G9" s="5" t="s">
        <v>165</v>
      </c>
      <c r="H9" s="16">
        <v>4045.24</v>
      </c>
      <c r="I9" s="17">
        <f t="shared" si="0"/>
        <v>4045.24</v>
      </c>
    </row>
    <row r="10" spans="1:9" x14ac:dyDescent="0.25">
      <c r="A10" s="39"/>
      <c r="B10" s="36"/>
      <c r="C10" s="37"/>
      <c r="D10" s="37"/>
      <c r="E10" s="38"/>
      <c r="F10" s="38"/>
      <c r="G10" s="5" t="s">
        <v>166</v>
      </c>
      <c r="H10" s="16">
        <v>1777.41</v>
      </c>
      <c r="I10" s="17">
        <f t="shared" si="0"/>
        <v>1777.41</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24</v>
      </c>
      <c r="B3" s="35" t="s">
        <v>50</v>
      </c>
      <c r="C3" s="37" t="s">
        <v>7</v>
      </c>
      <c r="D3" s="37">
        <v>6</v>
      </c>
      <c r="E3" s="38">
        <f>IF(C20&lt;=25%,D20,MIN(E20:F20))</f>
        <v>150.47</v>
      </c>
      <c r="F3" s="38">
        <f>MIN(H3:H17)</f>
        <v>116.55</v>
      </c>
      <c r="G3" s="5" t="s">
        <v>144</v>
      </c>
      <c r="H3" s="16">
        <v>116.55</v>
      </c>
      <c r="I3" s="17" t="str">
        <f>IF(H3="","",(IF($C$20&lt;25%,"n/a",IF(H3&lt;=($D$20+$A$20),H3,"Descartado"))))</f>
        <v>n/a</v>
      </c>
    </row>
    <row r="4" spans="1:9" x14ac:dyDescent="0.25">
      <c r="A4" s="39"/>
      <c r="B4" s="36"/>
      <c r="C4" s="37"/>
      <c r="D4" s="37"/>
      <c r="E4" s="38"/>
      <c r="F4" s="38"/>
      <c r="G4" s="5" t="s">
        <v>150</v>
      </c>
      <c r="H4" s="16">
        <v>189.9</v>
      </c>
      <c r="I4" s="17" t="str">
        <f t="shared" ref="I4:I17" si="0">IF(H4="","",(IF($C$20&lt;25%,"n/a",IF(H4&lt;=($D$20+$A$20),H4,"Descartado"))))</f>
        <v>n/a</v>
      </c>
    </row>
    <row r="5" spans="1:9" x14ac:dyDescent="0.25">
      <c r="A5" s="39"/>
      <c r="B5" s="36"/>
      <c r="C5" s="37"/>
      <c r="D5" s="37"/>
      <c r="E5" s="38"/>
      <c r="F5" s="38"/>
      <c r="G5" s="5" t="s">
        <v>167</v>
      </c>
      <c r="H5" s="16">
        <v>144.94999999999999</v>
      </c>
      <c r="I5" s="17" t="str">
        <f t="shared" si="0"/>
        <v>n/a</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25</v>
      </c>
      <c r="B3" s="35" t="s">
        <v>51</v>
      </c>
      <c r="C3" s="37" t="s">
        <v>7</v>
      </c>
      <c r="D3" s="37">
        <v>2</v>
      </c>
      <c r="E3" s="38">
        <f>IF(C20&lt;=25%,D20,MIN(E20:F20))</f>
        <v>701.53</v>
      </c>
      <c r="F3" s="38">
        <f>MIN(H3:H17)</f>
        <v>549</v>
      </c>
      <c r="G3" s="5" t="s">
        <v>168</v>
      </c>
      <c r="H3" s="16">
        <v>549</v>
      </c>
      <c r="I3" s="17">
        <f>IF(H3="","",(IF($C$20&lt;25%,"n/a",IF(H3&lt;=($D$20+$A$20),H3,"Descartado"))))</f>
        <v>549</v>
      </c>
    </row>
    <row r="4" spans="1:9" x14ac:dyDescent="0.25">
      <c r="A4" s="39"/>
      <c r="B4" s="36"/>
      <c r="C4" s="37"/>
      <c r="D4" s="37"/>
      <c r="E4" s="38"/>
      <c r="F4" s="38"/>
      <c r="G4" s="5" t="s">
        <v>144</v>
      </c>
      <c r="H4" s="16">
        <v>679.9</v>
      </c>
      <c r="I4" s="17">
        <f t="shared" ref="I4:I17" si="0">IF(H4="","",(IF($C$20&lt;25%,"n/a",IF(H4&lt;=($D$20+$A$20),H4,"Descartado"))))</f>
        <v>679.9</v>
      </c>
    </row>
    <row r="5" spans="1:9" x14ac:dyDescent="0.25">
      <c r="A5" s="39"/>
      <c r="B5" s="36"/>
      <c r="C5" s="37"/>
      <c r="D5" s="37"/>
      <c r="E5" s="38"/>
      <c r="F5" s="38"/>
      <c r="G5" s="5" t="s">
        <v>139</v>
      </c>
      <c r="H5" s="16">
        <v>998</v>
      </c>
      <c r="I5" s="17" t="str">
        <f t="shared" si="0"/>
        <v>Descartado</v>
      </c>
    </row>
    <row r="6" spans="1:9" x14ac:dyDescent="0.25">
      <c r="A6" s="39"/>
      <c r="B6" s="36"/>
      <c r="C6" s="37"/>
      <c r="D6" s="37"/>
      <c r="E6" s="38"/>
      <c r="F6" s="38"/>
      <c r="G6" s="5" t="s">
        <v>169</v>
      </c>
      <c r="H6" s="16">
        <v>875.69</v>
      </c>
      <c r="I6" s="17">
        <f t="shared" si="0"/>
        <v>875.69</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26</v>
      </c>
      <c r="B3" s="35" t="s">
        <v>52</v>
      </c>
      <c r="C3" s="37" t="s">
        <v>7</v>
      </c>
      <c r="D3" s="37">
        <v>4</v>
      </c>
      <c r="E3" s="38">
        <f>IF(C20&lt;=25%,D20,MIN(E20:F20))</f>
        <v>314.5</v>
      </c>
      <c r="F3" s="38">
        <f>MIN(H3:H17)</f>
        <v>149.97</v>
      </c>
      <c r="G3" s="5" t="s">
        <v>129</v>
      </c>
      <c r="H3" s="16">
        <v>1257</v>
      </c>
      <c r="I3" s="17" t="str">
        <f>IF(H3="","",(IF($C$20&lt;25%,"n/a",IF(H3&lt;=($D$20+$A$20),H3,"Descartado"))))</f>
        <v>Descartado</v>
      </c>
    </row>
    <row r="4" spans="1:9" x14ac:dyDescent="0.25">
      <c r="A4" s="39"/>
      <c r="B4" s="36"/>
      <c r="C4" s="37"/>
      <c r="D4" s="37"/>
      <c r="E4" s="38"/>
      <c r="F4" s="38"/>
      <c r="G4" s="5" t="s">
        <v>68</v>
      </c>
      <c r="H4" s="16">
        <v>160</v>
      </c>
      <c r="I4" s="17">
        <f t="shared" ref="I4:I17" si="0">IF(H4="","",(IF($C$20&lt;25%,"n/a",IF(H4&lt;=($D$20+$A$20),H4,"Descartado"))))</f>
        <v>160</v>
      </c>
    </row>
    <row r="5" spans="1:9" x14ac:dyDescent="0.25">
      <c r="A5" s="39"/>
      <c r="B5" s="36"/>
      <c r="C5" s="37"/>
      <c r="D5" s="37"/>
      <c r="E5" s="38"/>
      <c r="F5" s="38"/>
      <c r="G5" s="5" t="s">
        <v>130</v>
      </c>
      <c r="H5" s="16">
        <v>330</v>
      </c>
      <c r="I5" s="17">
        <f t="shared" si="0"/>
        <v>330</v>
      </c>
    </row>
    <row r="6" spans="1:9" x14ac:dyDescent="0.25">
      <c r="A6" s="39"/>
      <c r="B6" s="36"/>
      <c r="C6" s="37"/>
      <c r="D6" s="37"/>
      <c r="E6" s="38"/>
      <c r="F6" s="38"/>
      <c r="G6" s="5" t="s">
        <v>76</v>
      </c>
      <c r="H6" s="16">
        <v>259</v>
      </c>
      <c r="I6" s="17">
        <f t="shared" si="0"/>
        <v>259</v>
      </c>
    </row>
    <row r="7" spans="1:9" x14ac:dyDescent="0.25">
      <c r="A7" s="39"/>
      <c r="B7" s="36"/>
      <c r="C7" s="37"/>
      <c r="D7" s="37"/>
      <c r="E7" s="38"/>
      <c r="F7" s="38"/>
      <c r="G7" s="5" t="s">
        <v>82</v>
      </c>
      <c r="H7" s="16">
        <v>1000</v>
      </c>
      <c r="I7" s="17">
        <f t="shared" si="0"/>
        <v>1000</v>
      </c>
    </row>
    <row r="8" spans="1:9" x14ac:dyDescent="0.25">
      <c r="A8" s="39"/>
      <c r="B8" s="36"/>
      <c r="C8" s="37"/>
      <c r="D8" s="37"/>
      <c r="E8" s="38"/>
      <c r="F8" s="38"/>
      <c r="G8" s="5" t="s">
        <v>131</v>
      </c>
      <c r="H8" s="16">
        <v>177.5</v>
      </c>
      <c r="I8" s="17">
        <f t="shared" si="0"/>
        <v>177.5</v>
      </c>
    </row>
    <row r="9" spans="1:9" x14ac:dyDescent="0.25">
      <c r="A9" s="39"/>
      <c r="B9" s="36"/>
      <c r="C9" s="37"/>
      <c r="D9" s="37"/>
      <c r="E9" s="38"/>
      <c r="F9" s="38"/>
      <c r="G9" s="5" t="s">
        <v>70</v>
      </c>
      <c r="H9" s="16">
        <v>160</v>
      </c>
      <c r="I9" s="17">
        <f t="shared" si="0"/>
        <v>160</v>
      </c>
    </row>
    <row r="10" spans="1:9" x14ac:dyDescent="0.25">
      <c r="A10" s="39"/>
      <c r="B10" s="36"/>
      <c r="C10" s="37"/>
      <c r="D10" s="37"/>
      <c r="E10" s="38"/>
      <c r="F10" s="38"/>
      <c r="G10" s="5" t="s">
        <v>132</v>
      </c>
      <c r="H10" s="16">
        <v>1342</v>
      </c>
      <c r="I10" s="17" t="str">
        <f t="shared" si="0"/>
        <v>Descartado</v>
      </c>
    </row>
    <row r="11" spans="1:9" x14ac:dyDescent="0.25">
      <c r="A11" s="39"/>
      <c r="B11" s="36"/>
      <c r="C11" s="37"/>
      <c r="D11" s="37"/>
      <c r="E11" s="38"/>
      <c r="F11" s="38"/>
      <c r="G11" s="5" t="s">
        <v>133</v>
      </c>
      <c r="H11" s="16">
        <v>1650</v>
      </c>
      <c r="I11" s="17" t="str">
        <f t="shared" si="0"/>
        <v>Descartado</v>
      </c>
    </row>
    <row r="12" spans="1:9" x14ac:dyDescent="0.25">
      <c r="A12" s="39"/>
      <c r="B12" s="36"/>
      <c r="C12" s="37"/>
      <c r="D12" s="37"/>
      <c r="E12" s="38"/>
      <c r="F12" s="38"/>
      <c r="G12" s="5" t="s">
        <v>101</v>
      </c>
      <c r="H12" s="16">
        <v>149.97</v>
      </c>
      <c r="I12" s="17">
        <f t="shared" si="0"/>
        <v>149.97</v>
      </c>
    </row>
    <row r="13" spans="1:9" x14ac:dyDescent="0.25">
      <c r="A13" s="39"/>
      <c r="B13" s="36"/>
      <c r="C13" s="37"/>
      <c r="D13" s="37"/>
      <c r="E13" s="38"/>
      <c r="F13" s="38"/>
      <c r="G13" s="5" t="s">
        <v>161</v>
      </c>
      <c r="H13" s="16">
        <v>299</v>
      </c>
      <c r="I13" s="17">
        <f t="shared" si="0"/>
        <v>299</v>
      </c>
    </row>
    <row r="14" spans="1:9" x14ac:dyDescent="0.25">
      <c r="A14" s="39"/>
      <c r="B14" s="36"/>
      <c r="C14" s="37"/>
      <c r="D14" s="37"/>
      <c r="E14" s="38"/>
      <c r="F14" s="38"/>
      <c r="G14" s="5" t="s">
        <v>170</v>
      </c>
      <c r="H14" s="16">
        <v>341.01</v>
      </c>
      <c r="I14" s="17">
        <f t="shared" si="0"/>
        <v>341.01</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27</v>
      </c>
      <c r="B3" s="35" t="s">
        <v>53</v>
      </c>
      <c r="C3" s="37" t="s">
        <v>7</v>
      </c>
      <c r="D3" s="37">
        <v>2</v>
      </c>
      <c r="E3" s="38">
        <f>IF(C20&lt;=25%,D20,MIN(E20:F20))</f>
        <v>2336.66</v>
      </c>
      <c r="F3" s="38">
        <f>MIN(H3:H17)</f>
        <v>985</v>
      </c>
      <c r="G3" s="5" t="s">
        <v>130</v>
      </c>
      <c r="H3" s="16">
        <v>985</v>
      </c>
      <c r="I3" s="17">
        <f>IF(H3="","",(IF($C$20&lt;25%,"n/a",IF(H3&lt;=($D$20+$A$20),H3,"Descartado"))))</f>
        <v>985</v>
      </c>
    </row>
    <row r="4" spans="1:9" x14ac:dyDescent="0.25">
      <c r="A4" s="39"/>
      <c r="B4" s="36"/>
      <c r="C4" s="37"/>
      <c r="D4" s="37"/>
      <c r="E4" s="38"/>
      <c r="F4" s="38"/>
      <c r="G4" s="5" t="s">
        <v>134</v>
      </c>
      <c r="H4" s="16">
        <v>1750</v>
      </c>
      <c r="I4" s="17">
        <f t="shared" ref="I4:I17" si="0">IF(H4="","",(IF($C$20&lt;25%,"n/a",IF(H4&lt;=($D$20+$A$20),H4,"Descartado"))))</f>
        <v>1750</v>
      </c>
    </row>
    <row r="5" spans="1:9" x14ac:dyDescent="0.25">
      <c r="A5" s="39"/>
      <c r="B5" s="36"/>
      <c r="C5" s="37"/>
      <c r="D5" s="37"/>
      <c r="E5" s="38"/>
      <c r="F5" s="38"/>
      <c r="G5" s="5" t="s">
        <v>135</v>
      </c>
      <c r="H5" s="16">
        <v>3775.12</v>
      </c>
      <c r="I5" s="17" t="str">
        <f t="shared" si="0"/>
        <v>Descartado</v>
      </c>
    </row>
    <row r="6" spans="1:9" x14ac:dyDescent="0.25">
      <c r="A6" s="39"/>
      <c r="B6" s="36"/>
      <c r="C6" s="37"/>
      <c r="D6" s="37"/>
      <c r="E6" s="38"/>
      <c r="F6" s="38"/>
      <c r="G6" s="5" t="s">
        <v>68</v>
      </c>
      <c r="H6" s="16">
        <v>1449.99</v>
      </c>
      <c r="I6" s="17">
        <f t="shared" si="0"/>
        <v>1449.99</v>
      </c>
    </row>
    <row r="7" spans="1:9" x14ac:dyDescent="0.25">
      <c r="A7" s="39"/>
      <c r="B7" s="36"/>
      <c r="C7" s="37"/>
      <c r="D7" s="37"/>
      <c r="E7" s="38"/>
      <c r="F7" s="38"/>
      <c r="G7" s="5" t="s">
        <v>96</v>
      </c>
      <c r="H7" s="16">
        <v>1738.77</v>
      </c>
      <c r="I7" s="17">
        <f t="shared" si="0"/>
        <v>1738.77</v>
      </c>
    </row>
    <row r="8" spans="1:9" x14ac:dyDescent="0.25">
      <c r="A8" s="39"/>
      <c r="B8" s="36"/>
      <c r="C8" s="37"/>
      <c r="D8" s="37"/>
      <c r="E8" s="38"/>
      <c r="F8" s="38"/>
      <c r="G8" s="5" t="s">
        <v>136</v>
      </c>
      <c r="H8" s="16">
        <v>2582</v>
      </c>
      <c r="I8" s="17">
        <f t="shared" si="0"/>
        <v>2582</v>
      </c>
    </row>
    <row r="9" spans="1:9" x14ac:dyDescent="0.25">
      <c r="A9" s="39"/>
      <c r="B9" s="36"/>
      <c r="C9" s="37"/>
      <c r="D9" s="37"/>
      <c r="E9" s="38"/>
      <c r="F9" s="38"/>
      <c r="G9" s="5" t="s">
        <v>171</v>
      </c>
      <c r="H9" s="16">
        <v>3179.25</v>
      </c>
      <c r="I9" s="17">
        <f t="shared" si="0"/>
        <v>3179.25</v>
      </c>
    </row>
    <row r="10" spans="1:9" x14ac:dyDescent="0.25">
      <c r="A10" s="39"/>
      <c r="B10" s="36"/>
      <c r="C10" s="37"/>
      <c r="D10" s="37"/>
      <c r="E10" s="38"/>
      <c r="F10" s="38"/>
      <c r="G10" s="5" t="s">
        <v>139</v>
      </c>
      <c r="H10" s="16">
        <v>3484.8</v>
      </c>
      <c r="I10" s="17">
        <f t="shared" si="0"/>
        <v>3484.8</v>
      </c>
    </row>
    <row r="11" spans="1:9" x14ac:dyDescent="0.25">
      <c r="A11" s="39"/>
      <c r="B11" s="36"/>
      <c r="C11" s="37"/>
      <c r="D11" s="37"/>
      <c r="E11" s="38"/>
      <c r="F11" s="38"/>
      <c r="G11" s="5" t="s">
        <v>169</v>
      </c>
      <c r="H11" s="16">
        <v>3523.43</v>
      </c>
      <c r="I11" s="17">
        <f t="shared" si="0"/>
        <v>3523.43</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BreakPreview" zoomScaleNormal="100" zoomScaleSheetLayoutView="100" workbookViewId="0">
      <selection activeCell="E5" sqref="E5"/>
    </sheetView>
  </sheetViews>
  <sheetFormatPr defaultRowHeight="15" x14ac:dyDescent="0.25"/>
  <cols>
    <col min="1" max="2" width="6.7109375" style="1" customWidth="1"/>
    <col min="3" max="3" width="36.7109375" style="4" customWidth="1"/>
    <col min="4" max="4" width="12.7109375" style="1" customWidth="1"/>
    <col min="5" max="5" width="12.5703125" style="1" bestFit="1" customWidth="1"/>
    <col min="6" max="7" width="15.7109375" style="1" customWidth="1"/>
    <col min="8" max="16384" width="9.140625" style="1"/>
  </cols>
  <sheetData>
    <row r="1" spans="1:7" ht="15.75" x14ac:dyDescent="0.25">
      <c r="A1" s="40" t="s">
        <v>0</v>
      </c>
      <c r="B1" s="40"/>
      <c r="C1" s="40"/>
      <c r="D1" s="40"/>
      <c r="E1" s="40"/>
      <c r="F1" s="40"/>
      <c r="G1" s="40"/>
    </row>
    <row r="2" spans="1:7" ht="24" x14ac:dyDescent="0.25">
      <c r="A2" s="6" t="s">
        <v>29</v>
      </c>
      <c r="B2" s="6" t="s">
        <v>1</v>
      </c>
      <c r="C2" s="6" t="s">
        <v>2</v>
      </c>
      <c r="D2" s="6" t="s">
        <v>3</v>
      </c>
      <c r="E2" s="6" t="s">
        <v>4</v>
      </c>
      <c r="F2" s="6" t="s">
        <v>5</v>
      </c>
      <c r="G2" s="6" t="s">
        <v>30</v>
      </c>
    </row>
    <row r="3" spans="1:7" ht="60" x14ac:dyDescent="0.25">
      <c r="A3" s="25">
        <v>1</v>
      </c>
      <c r="B3" s="25">
        <f>Item1!A3</f>
        <v>1</v>
      </c>
      <c r="C3" s="27" t="str">
        <f>Item1!B3</f>
        <v>Impressora Multifuncional Laser Monocromática A4
Valor anual da locação
[490 equipamentos × 2 anos = 980]</v>
      </c>
      <c r="D3" s="25" t="str">
        <f>Item1!C3</f>
        <v>unidade</v>
      </c>
      <c r="E3" s="29">
        <f>Item1!D3</f>
        <v>980</v>
      </c>
      <c r="F3" s="26">
        <f>Item1!E3</f>
        <v>1631.03</v>
      </c>
      <c r="G3" s="26">
        <f>ROUND((E3*F3),2)</f>
        <v>1598409.4</v>
      </c>
    </row>
    <row r="4" spans="1:7" ht="60" x14ac:dyDescent="0.25">
      <c r="A4" s="25">
        <v>1</v>
      </c>
      <c r="B4" s="25">
        <f>Item2!A3</f>
        <v>2</v>
      </c>
      <c r="C4" s="27" t="str">
        <f>Item2!B3</f>
        <v>Impressora Multifuncional Laser Colorida A3
Valor anual da locação
[30 equipamentos × 2 anos = 60]</v>
      </c>
      <c r="D4" s="25" t="str">
        <f>Item2!C3</f>
        <v>unidade</v>
      </c>
      <c r="E4" s="29">
        <f>Item2!D3</f>
        <v>60</v>
      </c>
      <c r="F4" s="26">
        <f>Item2!E3</f>
        <v>5000</v>
      </c>
      <c r="G4" s="26">
        <f t="shared" ref="G4:G7" si="0">ROUND((E4*F4),2)</f>
        <v>300000</v>
      </c>
    </row>
    <row r="5" spans="1:7" ht="45" x14ac:dyDescent="0.25">
      <c r="A5" s="25">
        <v>1</v>
      </c>
      <c r="B5" s="25">
        <f>Item3!A3</f>
        <v>3</v>
      </c>
      <c r="C5" s="27" t="str">
        <f>Item3!B3</f>
        <v>Impressora Laser Monocromática A4
Valor anual da locação
[110 equipamentos × 2 anos = 220]</v>
      </c>
      <c r="D5" s="25" t="str">
        <f>Item3!C3</f>
        <v>unidade</v>
      </c>
      <c r="E5" s="29">
        <f>Item3!D3</f>
        <v>220</v>
      </c>
      <c r="F5" s="26">
        <f>Item3!E3</f>
        <v>1134.32</v>
      </c>
      <c r="G5" s="26">
        <f t="shared" si="0"/>
        <v>249550.4</v>
      </c>
    </row>
    <row r="6" spans="1:7" x14ac:dyDescent="0.25">
      <c r="A6" s="25">
        <v>1</v>
      </c>
      <c r="B6" s="25">
        <f>Item4!A3</f>
        <v>4</v>
      </c>
      <c r="C6" s="27" t="str">
        <f>Item4!B3</f>
        <v>Impressão P&amp;B - VC1PB</v>
      </c>
      <c r="D6" s="25" t="str">
        <f>Item4!C3</f>
        <v>página</v>
      </c>
      <c r="E6" s="29">
        <f>Item4!D3</f>
        <v>10000000</v>
      </c>
      <c r="F6" s="26">
        <f>Item4!E3</f>
        <v>0.03</v>
      </c>
      <c r="G6" s="26">
        <f t="shared" si="0"/>
        <v>300000</v>
      </c>
    </row>
    <row r="7" spans="1:7" x14ac:dyDescent="0.25">
      <c r="A7" s="25">
        <v>1</v>
      </c>
      <c r="B7" s="25">
        <f>Item5!A3</f>
        <v>5</v>
      </c>
      <c r="C7" s="27" t="str">
        <f>Item5!B3</f>
        <v>Impressão P&amp;B - VC2PB</v>
      </c>
      <c r="D7" s="25" t="str">
        <f>Item5!C3</f>
        <v>página</v>
      </c>
      <c r="E7" s="29">
        <f>Item5!D3</f>
        <v>160000</v>
      </c>
      <c r="F7" s="26">
        <f>Item5!E3</f>
        <v>0.03</v>
      </c>
      <c r="G7" s="26">
        <f t="shared" si="0"/>
        <v>4800</v>
      </c>
    </row>
    <row r="8" spans="1:7" x14ac:dyDescent="0.25">
      <c r="A8" s="25">
        <v>1</v>
      </c>
      <c r="B8" s="25">
        <f>Item6!A3</f>
        <v>6</v>
      </c>
      <c r="C8" s="27" t="str">
        <f>Item6!B3</f>
        <v>Impressão colorida - VC2C</v>
      </c>
      <c r="D8" s="25" t="str">
        <f>Item6!C3</f>
        <v>página</v>
      </c>
      <c r="E8" s="29">
        <f>Item6!D3</f>
        <v>320000</v>
      </c>
      <c r="F8" s="26">
        <f>Item6!E3</f>
        <v>0.12</v>
      </c>
      <c r="G8" s="26">
        <f t="shared" ref="G8" si="1">ROUND((E8*F8),2)</f>
        <v>38400</v>
      </c>
    </row>
    <row r="9" spans="1:7" x14ac:dyDescent="0.25">
      <c r="A9" s="25">
        <v>1</v>
      </c>
      <c r="B9" s="25">
        <f>Item7!A3</f>
        <v>7</v>
      </c>
      <c r="C9" s="27" t="str">
        <f>Item7!B3</f>
        <v>Impressão P&amp;B - VC3PB</v>
      </c>
      <c r="D9" s="25" t="str">
        <f>Item7!C3</f>
        <v>página</v>
      </c>
      <c r="E9" s="29">
        <f>Item7!D3</f>
        <v>720000</v>
      </c>
      <c r="F9" s="26">
        <f>Item7!E3</f>
        <v>0.03</v>
      </c>
      <c r="G9" s="26">
        <f t="shared" ref="G9" si="2">ROUND((E9*F9),2)</f>
        <v>21600</v>
      </c>
    </row>
    <row r="10" spans="1:7" ht="15.75" thickBot="1" x14ac:dyDescent="0.3"/>
    <row r="11" spans="1:7" ht="16.5" thickTop="1" thickBot="1" x14ac:dyDescent="0.3">
      <c r="D11" s="22"/>
      <c r="E11" s="23" t="s">
        <v>33</v>
      </c>
      <c r="F11" s="24">
        <f>SUM(G:G)</f>
        <v>2512759.7999999998</v>
      </c>
    </row>
    <row r="12" spans="1:7" ht="15.75" thickTop="1" x14ac:dyDescent="0.25">
      <c r="F12" s="3"/>
    </row>
    <row r="13" spans="1:7" x14ac:dyDescent="0.25">
      <c r="D13" s="21" t="s">
        <v>32</v>
      </c>
      <c r="E13" s="13">
        <f>MAX(A:A)</f>
        <v>1</v>
      </c>
    </row>
    <row r="15" spans="1:7" x14ac:dyDescent="0.25">
      <c r="D15" s="18" t="s">
        <v>31</v>
      </c>
      <c r="E15" s="19">
        <v>1</v>
      </c>
      <c r="F15" s="20">
        <f>SUMIF(A:A,E15,G:G)</f>
        <v>2512759.7999999998</v>
      </c>
    </row>
    <row r="16" spans="1:7" x14ac:dyDescent="0.25">
      <c r="D16" s="18" t="s">
        <v>31</v>
      </c>
      <c r="E16" s="19">
        <v>2</v>
      </c>
      <c r="F16" s="20">
        <f>SUMIF(A:A,E16,G:G)</f>
        <v>0</v>
      </c>
    </row>
    <row r="17" spans="4:6" x14ac:dyDescent="0.25">
      <c r="D17" s="18" t="s">
        <v>31</v>
      </c>
      <c r="E17" s="19">
        <v>3</v>
      </c>
      <c r="F17" s="20">
        <f>SUMIF(A:A,E17,G:G)</f>
        <v>0</v>
      </c>
    </row>
    <row r="18" spans="4:6" x14ac:dyDescent="0.25">
      <c r="D18" s="18" t="s">
        <v>31</v>
      </c>
      <c r="E18" s="19">
        <v>4</v>
      </c>
      <c r="F18" s="20">
        <f>SUMIF(A:A,E18,G:G)</f>
        <v>0</v>
      </c>
    </row>
  </sheetData>
  <mergeCells count="1">
    <mergeCell ref="A1:G1"/>
  </mergeCells>
  <pageMargins left="0.51181102362204722" right="0.51181102362204722" top="1.2598425196850394" bottom="0.78740157480314965" header="0.31496062992125984" footer="0.31496062992125984"/>
  <pageSetup paperSize="9" scale="86" orientation="portrait" r:id="rId1"/>
  <headerFooter>
    <oddHeader>&amp;C&amp;G</oddHeader>
    <oddFooter>&amp;L&amp;"-,Negrito"Estimativa em &amp;D&amp;Rn/a = não se aplica</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view="pageBreakPreview" zoomScaleNormal="100" zoomScaleSheetLayoutView="100" workbookViewId="0">
      <selection activeCell="G28" sqref="G28"/>
    </sheetView>
  </sheetViews>
  <sheetFormatPr defaultRowHeight="15" x14ac:dyDescent="0.25"/>
  <cols>
    <col min="1" max="2" width="6.7109375" style="1" customWidth="1"/>
    <col min="3" max="3" width="15.7109375" style="4" customWidth="1"/>
    <col min="4" max="9" width="15.7109375" style="1" customWidth="1"/>
    <col min="10" max="16384" width="9.140625" style="1"/>
  </cols>
  <sheetData>
    <row r="1" spans="1:9" ht="15.75" x14ac:dyDescent="0.25">
      <c r="A1" s="41" t="s">
        <v>190</v>
      </c>
      <c r="B1" s="41"/>
      <c r="C1" s="41"/>
      <c r="D1" s="41"/>
      <c r="E1" s="41"/>
      <c r="F1" s="41"/>
      <c r="G1" s="41"/>
      <c r="H1" s="41"/>
      <c r="I1" s="41"/>
    </row>
    <row r="2" spans="1:9" ht="15.75" x14ac:dyDescent="0.25">
      <c r="A2" s="41" t="s">
        <v>199</v>
      </c>
      <c r="B2" s="41"/>
      <c r="C2" s="41"/>
      <c r="D2" s="41"/>
      <c r="E2" s="41"/>
      <c r="F2" s="41"/>
      <c r="G2" s="41"/>
      <c r="H2" s="41"/>
      <c r="I2" s="41"/>
    </row>
    <row r="3" spans="1:9" ht="30" customHeight="1" x14ac:dyDescent="0.25">
      <c r="A3" s="42" t="s">
        <v>29</v>
      </c>
      <c r="B3" s="42" t="s">
        <v>1</v>
      </c>
      <c r="C3" s="42" t="s">
        <v>192</v>
      </c>
      <c r="D3" s="42" t="s">
        <v>193</v>
      </c>
      <c r="E3" s="44" t="s">
        <v>194</v>
      </c>
      <c r="F3" s="45"/>
      <c r="G3" s="33" t="s">
        <v>197</v>
      </c>
      <c r="H3" s="33"/>
      <c r="I3" s="33" t="s">
        <v>198</v>
      </c>
    </row>
    <row r="4" spans="1:9" x14ac:dyDescent="0.25">
      <c r="A4" s="43"/>
      <c r="B4" s="43"/>
      <c r="C4" s="43"/>
      <c r="D4" s="43"/>
      <c r="E4" s="28" t="s">
        <v>195</v>
      </c>
      <c r="F4" s="28" t="s">
        <v>196</v>
      </c>
      <c r="G4" s="28" t="s">
        <v>195</v>
      </c>
      <c r="H4" s="28" t="s">
        <v>196</v>
      </c>
      <c r="I4" s="33"/>
    </row>
    <row r="5" spans="1:9" x14ac:dyDescent="0.25">
      <c r="A5" s="25">
        <v>1</v>
      </c>
      <c r="B5" s="25">
        <v>1</v>
      </c>
      <c r="C5" s="25">
        <v>490</v>
      </c>
      <c r="D5" s="30">
        <f>Item1!H22</f>
        <v>1631.03</v>
      </c>
      <c r="E5" s="31">
        <v>3000000</v>
      </c>
      <c r="F5" s="31">
        <v>0</v>
      </c>
      <c r="G5" s="26">
        <f>Item4!H22</f>
        <v>0.03</v>
      </c>
      <c r="H5" s="26">
        <v>0</v>
      </c>
      <c r="I5" s="32">
        <f>(C5*D5)+(E5*G5)</f>
        <v>889204.7</v>
      </c>
    </row>
    <row r="6" spans="1:9" x14ac:dyDescent="0.25">
      <c r="A6" s="25">
        <v>1</v>
      </c>
      <c r="B6" s="25">
        <v>2</v>
      </c>
      <c r="C6" s="25">
        <v>30</v>
      </c>
      <c r="D6" s="30">
        <f>Item2!H22</f>
        <v>5000</v>
      </c>
      <c r="E6" s="31">
        <v>80000</v>
      </c>
      <c r="F6" s="31">
        <v>160000</v>
      </c>
      <c r="G6" s="26">
        <f>Item5!H22</f>
        <v>0.03</v>
      </c>
      <c r="H6" s="26">
        <f>Item6!H22</f>
        <v>0.12</v>
      </c>
      <c r="I6" s="32">
        <f>(C6*D6)+(E6*G6)+(F6*H6)</f>
        <v>171600</v>
      </c>
    </row>
    <row r="7" spans="1:9" x14ac:dyDescent="0.25">
      <c r="A7" s="25">
        <v>1</v>
      </c>
      <c r="B7" s="25">
        <v>3</v>
      </c>
      <c r="C7" s="25">
        <v>110</v>
      </c>
      <c r="D7" s="30">
        <f>Item3!H22</f>
        <v>1134.32</v>
      </c>
      <c r="E7" s="31">
        <v>360000</v>
      </c>
      <c r="F7" s="31">
        <v>0</v>
      </c>
      <c r="G7" s="26">
        <f>Item7!H22</f>
        <v>0.03</v>
      </c>
      <c r="H7" s="26">
        <v>0</v>
      </c>
      <c r="I7" s="32">
        <f>(C7*D7)+(E7*G7)</f>
        <v>135575.20000000001</v>
      </c>
    </row>
    <row r="8" spans="1:9" ht="15.75" x14ac:dyDescent="0.25">
      <c r="A8" s="41" t="s">
        <v>200</v>
      </c>
      <c r="B8" s="41"/>
      <c r="C8" s="41"/>
      <c r="D8" s="41"/>
      <c r="E8" s="41"/>
      <c r="F8" s="41"/>
      <c r="G8" s="41"/>
      <c r="H8" s="41"/>
      <c r="I8" s="41"/>
    </row>
    <row r="9" spans="1:9" ht="30" customHeight="1" x14ac:dyDescent="0.25">
      <c r="A9" s="42" t="s">
        <v>29</v>
      </c>
      <c r="B9" s="42" t="s">
        <v>1</v>
      </c>
      <c r="C9" s="42" t="s">
        <v>192</v>
      </c>
      <c r="D9" s="42" t="s">
        <v>193</v>
      </c>
      <c r="E9" s="44" t="s">
        <v>194</v>
      </c>
      <c r="F9" s="45"/>
      <c r="G9" s="33" t="s">
        <v>197</v>
      </c>
      <c r="H9" s="33"/>
      <c r="I9" s="33" t="s">
        <v>198</v>
      </c>
    </row>
    <row r="10" spans="1:9" x14ac:dyDescent="0.25">
      <c r="A10" s="43"/>
      <c r="B10" s="43"/>
      <c r="C10" s="43"/>
      <c r="D10" s="43"/>
      <c r="E10" s="28" t="s">
        <v>195</v>
      </c>
      <c r="F10" s="28" t="s">
        <v>196</v>
      </c>
      <c r="G10" s="28" t="s">
        <v>195</v>
      </c>
      <c r="H10" s="28" t="s">
        <v>196</v>
      </c>
      <c r="I10" s="33"/>
    </row>
    <row r="11" spans="1:9" x14ac:dyDescent="0.25">
      <c r="A11" s="25">
        <v>1</v>
      </c>
      <c r="B11" s="25">
        <v>1</v>
      </c>
      <c r="C11" s="25">
        <v>490</v>
      </c>
      <c r="D11" s="30">
        <f>Item1!H22</f>
        <v>1631.03</v>
      </c>
      <c r="E11" s="31">
        <v>7000000</v>
      </c>
      <c r="F11" s="31">
        <v>0</v>
      </c>
      <c r="G11" s="26">
        <f>Item4!H22</f>
        <v>0.03</v>
      </c>
      <c r="H11" s="26">
        <v>0</v>
      </c>
      <c r="I11" s="32">
        <f>(C11*D11)+(E11*G11)</f>
        <v>1009204.7</v>
      </c>
    </row>
    <row r="12" spans="1:9" x14ac:dyDescent="0.25">
      <c r="A12" s="25">
        <v>1</v>
      </c>
      <c r="B12" s="25">
        <v>2</v>
      </c>
      <c r="C12" s="25">
        <v>30</v>
      </c>
      <c r="D12" s="30">
        <f>Item2!H22</f>
        <v>5000</v>
      </c>
      <c r="E12" s="31">
        <v>80000</v>
      </c>
      <c r="F12" s="31">
        <v>160000</v>
      </c>
      <c r="G12" s="26">
        <f>Item5!H22</f>
        <v>0.03</v>
      </c>
      <c r="H12" s="26">
        <f>Item6!H22</f>
        <v>0.12</v>
      </c>
      <c r="I12" s="32">
        <f>(C12*D12)+(E12*G12)+(F12*H12)</f>
        <v>171600</v>
      </c>
    </row>
    <row r="13" spans="1:9" x14ac:dyDescent="0.25">
      <c r="A13" s="25">
        <v>1</v>
      </c>
      <c r="B13" s="25">
        <v>3</v>
      </c>
      <c r="C13" s="25">
        <v>110</v>
      </c>
      <c r="D13" s="30">
        <f>Item3!H22</f>
        <v>1134.32</v>
      </c>
      <c r="E13" s="31">
        <v>360000</v>
      </c>
      <c r="F13" s="31">
        <v>0</v>
      </c>
      <c r="G13" s="26">
        <f>Item7!H22</f>
        <v>0.03</v>
      </c>
      <c r="H13" s="26">
        <v>0</v>
      </c>
      <c r="I13" s="32">
        <f>(C13*D13)+(E13*G13)</f>
        <v>135575.20000000001</v>
      </c>
    </row>
    <row r="14" spans="1:9" ht="15.75" thickBot="1" x14ac:dyDescent="0.3"/>
    <row r="15" spans="1:9" ht="16.5" thickTop="1" thickBot="1" x14ac:dyDescent="0.3">
      <c r="D15" s="22"/>
      <c r="E15" s="23" t="s">
        <v>33</v>
      </c>
      <c r="F15" s="24">
        <f>SUM(I:I)</f>
        <v>2512759.7999999998</v>
      </c>
    </row>
    <row r="16" spans="1:9" ht="15.75" thickTop="1" x14ac:dyDescent="0.25"/>
  </sheetData>
  <mergeCells count="17">
    <mergeCell ref="G3:H3"/>
    <mergeCell ref="E3:F3"/>
    <mergeCell ref="A1:I1"/>
    <mergeCell ref="A2:I2"/>
    <mergeCell ref="I3:I4"/>
    <mergeCell ref="D3:D4"/>
    <mergeCell ref="C3:C4"/>
    <mergeCell ref="A3:A4"/>
    <mergeCell ref="B3:B4"/>
    <mergeCell ref="A8:I8"/>
    <mergeCell ref="A9:A10"/>
    <mergeCell ref="B9:B10"/>
    <mergeCell ref="C9:C10"/>
    <mergeCell ref="D9:D10"/>
    <mergeCell ref="E9:F9"/>
    <mergeCell ref="G9:H9"/>
    <mergeCell ref="I9:I10"/>
  </mergeCells>
  <printOptions horizontalCentered="1"/>
  <pageMargins left="0.51181102362204722" right="0.51181102362204722" top="1.2598425196850394" bottom="0.78740157480314965" header="0.31496062992125984" footer="0.31496062992125984"/>
  <pageSetup paperSize="9" scale="74"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7" sqref="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9">
        <v>3</v>
      </c>
      <c r="B3" s="35" t="s">
        <v>174</v>
      </c>
      <c r="C3" s="37" t="s">
        <v>7</v>
      </c>
      <c r="D3" s="37">
        <f>110*2</f>
        <v>220</v>
      </c>
      <c r="E3" s="38">
        <f>IF(C20&lt;=25%,D20,MIN(E20:F20))</f>
        <v>1134.32</v>
      </c>
      <c r="F3" s="38">
        <f>MIN(H3:H17)</f>
        <v>960</v>
      </c>
      <c r="G3" s="5" t="s">
        <v>181</v>
      </c>
      <c r="H3" s="16">
        <f>80*12</f>
        <v>960</v>
      </c>
      <c r="I3" s="17">
        <f>IF(H3="","",(IF($C$20&lt;25%,"n/a",IF(H3&lt;=($D$20+$A$20),H3,"Descartado"))))</f>
        <v>960</v>
      </c>
    </row>
    <row r="4" spans="1:9" x14ac:dyDescent="0.25">
      <c r="A4" s="39"/>
      <c r="B4" s="36"/>
      <c r="C4" s="37"/>
      <c r="D4" s="37"/>
      <c r="E4" s="38"/>
      <c r="F4" s="38"/>
      <c r="G4" s="5" t="s">
        <v>186</v>
      </c>
      <c r="H4" s="16">
        <f>187*12</f>
        <v>2244</v>
      </c>
      <c r="I4" s="17" t="str">
        <f t="shared" ref="I4:I17" si="0">IF(H4="","",(IF($C$20&lt;25%,"n/a",IF(H4&lt;=($D$20+$A$20),H4,"Descartado"))))</f>
        <v>Descartado</v>
      </c>
    </row>
    <row r="5" spans="1:9" x14ac:dyDescent="0.25">
      <c r="A5" s="39"/>
      <c r="B5" s="36"/>
      <c r="C5" s="37"/>
      <c r="D5" s="37"/>
      <c r="E5" s="38"/>
      <c r="F5" s="38"/>
      <c r="G5" s="5" t="s">
        <v>188</v>
      </c>
      <c r="H5" s="16">
        <f>102734.16/71</f>
        <v>1446.96</v>
      </c>
      <c r="I5" s="17">
        <f t="shared" si="0"/>
        <v>1446.96</v>
      </c>
    </row>
    <row r="6" spans="1:9" x14ac:dyDescent="0.25">
      <c r="A6" s="39"/>
      <c r="B6" s="36"/>
      <c r="C6" s="37"/>
      <c r="D6" s="37"/>
      <c r="E6" s="38"/>
      <c r="F6" s="38"/>
      <c r="G6" s="5" t="s">
        <v>189</v>
      </c>
      <c r="H6" s="16">
        <f>83*12</f>
        <v>996</v>
      </c>
      <c r="I6" s="17">
        <f t="shared" si="0"/>
        <v>996</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597.44063336870533</v>
      </c>
      <c r="B20" s="8">
        <f>COUNT(H3:H17)</f>
        <v>4</v>
      </c>
      <c r="C20" s="9">
        <f>IF(B20&lt;2,"n/a",(A20/D20))</f>
        <v>0.42319452120695406</v>
      </c>
      <c r="D20" s="10">
        <f>IFERROR(ROUND(AVERAGE(H3:H17),2),"")</f>
        <v>1411.74</v>
      </c>
      <c r="E20" s="15">
        <f>IFERROR(ROUND(IF(B20&lt;2,"n/a",(IF(C20&lt;=25%,"n/a",AVERAGE(I3:I17)))),2),"n/a")</f>
        <v>1134.32</v>
      </c>
      <c r="F20" s="10">
        <f>IFERROR(ROUND(MEDIAN(H3:H17),2),"")</f>
        <v>1221.48</v>
      </c>
      <c r="G20" s="11" t="str">
        <f>IFERROR(INDEX(G3:G17,MATCH(H20,H3:H17,0)),"")</f>
        <v>SIMPRESS COMERCIO LOCACAO E SERVICOS LTDA</v>
      </c>
      <c r="H20" s="12">
        <f>F3</f>
        <v>960</v>
      </c>
    </row>
    <row r="22" spans="1:9" x14ac:dyDescent="0.25">
      <c r="G22" s="13" t="s">
        <v>20</v>
      </c>
      <c r="H22" s="14">
        <f>IF(C20&lt;=25%,D20,MIN(E20:F20))</f>
        <v>1134.32</v>
      </c>
    </row>
    <row r="23" spans="1:9" x14ac:dyDescent="0.25">
      <c r="G23" s="13" t="s">
        <v>6</v>
      </c>
      <c r="H23" s="14">
        <f>ROUND(H22,2)*D3</f>
        <v>249550.4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A3" sqref="A3:A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9">
        <v>4</v>
      </c>
      <c r="B3" s="35" t="s">
        <v>182</v>
      </c>
      <c r="C3" s="37" t="s">
        <v>191</v>
      </c>
      <c r="D3" s="37">
        <f>3000000+7000000</f>
        <v>10000000</v>
      </c>
      <c r="E3" s="38">
        <f>IF(C20&lt;=25%,D20,MIN(E20:F20))</f>
        <v>0.03</v>
      </c>
      <c r="F3" s="38">
        <f>MIN(H3:H17)</f>
        <v>1.9900000000000001E-2</v>
      </c>
      <c r="G3" s="5" t="s">
        <v>175</v>
      </c>
      <c r="H3" s="16">
        <v>0.03</v>
      </c>
      <c r="I3" s="17">
        <f>IF(H3="","",(IF($C$20&lt;25%,"n/a",IF(H3&lt;=($D$20+$A$20),H3,"Descartado"))))</f>
        <v>0.03</v>
      </c>
    </row>
    <row r="4" spans="1:9" x14ac:dyDescent="0.25">
      <c r="A4" s="39"/>
      <c r="B4" s="36"/>
      <c r="C4" s="37"/>
      <c r="D4" s="37"/>
      <c r="E4" s="38"/>
      <c r="F4" s="38"/>
      <c r="G4" s="5" t="s">
        <v>176</v>
      </c>
      <c r="H4" s="16">
        <v>0.13</v>
      </c>
      <c r="I4" s="17" t="str">
        <f t="shared" ref="I4:I17" si="0">IF(H4="","",(IF($C$20&lt;25%,"n/a",IF(H4&lt;=($D$20+$A$20),H4,"Descartado"))))</f>
        <v>Descartado</v>
      </c>
    </row>
    <row r="5" spans="1:9" x14ac:dyDescent="0.25">
      <c r="A5" s="39"/>
      <c r="B5" s="36"/>
      <c r="C5" s="37"/>
      <c r="D5" s="37"/>
      <c r="E5" s="38"/>
      <c r="F5" s="38"/>
      <c r="G5" s="5" t="s">
        <v>177</v>
      </c>
      <c r="H5" s="16">
        <f>1.99/100</f>
        <v>1.9900000000000001E-2</v>
      </c>
      <c r="I5" s="17">
        <f t="shared" si="0"/>
        <v>1.9900000000000001E-2</v>
      </c>
    </row>
    <row r="6" spans="1:9" x14ac:dyDescent="0.25">
      <c r="A6" s="39"/>
      <c r="B6" s="36"/>
      <c r="C6" s="37"/>
      <c r="D6" s="37"/>
      <c r="E6" s="38"/>
      <c r="F6" s="38"/>
      <c r="G6" s="5" t="s">
        <v>178</v>
      </c>
      <c r="H6" s="16">
        <f>0.03</f>
        <v>0.03</v>
      </c>
      <c r="I6" s="17">
        <f t="shared" si="0"/>
        <v>0.03</v>
      </c>
    </row>
    <row r="7" spans="1:9" x14ac:dyDescent="0.25">
      <c r="A7" s="39"/>
      <c r="B7" s="36"/>
      <c r="C7" s="37"/>
      <c r="D7" s="37"/>
      <c r="E7" s="38"/>
      <c r="F7" s="38"/>
      <c r="G7" s="5" t="s">
        <v>179</v>
      </c>
      <c r="H7" s="16">
        <v>2.5000000000000001E-2</v>
      </c>
      <c r="I7" s="17">
        <f t="shared" si="0"/>
        <v>2.5000000000000001E-2</v>
      </c>
    </row>
    <row r="8" spans="1:9" x14ac:dyDescent="0.25">
      <c r="A8" s="39"/>
      <c r="B8" s="36"/>
      <c r="C8" s="37"/>
      <c r="D8" s="37"/>
      <c r="E8" s="38"/>
      <c r="F8" s="38"/>
      <c r="G8" s="5" t="s">
        <v>180</v>
      </c>
      <c r="H8" s="16">
        <f>0.06</f>
        <v>0.06</v>
      </c>
      <c r="I8" s="17">
        <f t="shared" si="0"/>
        <v>0.06</v>
      </c>
    </row>
    <row r="9" spans="1:9" x14ac:dyDescent="0.25">
      <c r="A9" s="39"/>
      <c r="B9" s="36"/>
      <c r="C9" s="37"/>
      <c r="D9" s="37"/>
      <c r="E9" s="38"/>
      <c r="F9" s="38"/>
      <c r="G9" s="5" t="s">
        <v>181</v>
      </c>
      <c r="H9" s="16">
        <v>0.04</v>
      </c>
      <c r="I9" s="17">
        <f t="shared" si="0"/>
        <v>0.04</v>
      </c>
    </row>
    <row r="10" spans="1:9" x14ac:dyDescent="0.25">
      <c r="A10" s="39"/>
      <c r="B10" s="36"/>
      <c r="C10" s="37"/>
      <c r="D10" s="37"/>
      <c r="E10" s="38"/>
      <c r="F10" s="38"/>
      <c r="G10" s="5" t="s">
        <v>186</v>
      </c>
      <c r="H10" s="16">
        <v>7.0000000000000007E-2</v>
      </c>
      <c r="I10" s="17">
        <f t="shared" si="0"/>
        <v>7.0000000000000007E-2</v>
      </c>
    </row>
    <row r="11" spans="1:9" x14ac:dyDescent="0.25">
      <c r="A11" s="39"/>
      <c r="B11" s="36"/>
      <c r="C11" s="37"/>
      <c r="D11" s="37"/>
      <c r="E11" s="38"/>
      <c r="F11" s="38"/>
      <c r="G11" s="5" t="s">
        <v>188</v>
      </c>
      <c r="H11" s="16">
        <v>0.02</v>
      </c>
      <c r="I11" s="17">
        <f t="shared" si="0"/>
        <v>0.02</v>
      </c>
    </row>
    <row r="12" spans="1:9" x14ac:dyDescent="0.25">
      <c r="A12" s="39"/>
      <c r="B12" s="36"/>
      <c r="C12" s="37"/>
      <c r="D12" s="37"/>
      <c r="E12" s="38"/>
      <c r="F12" s="38"/>
      <c r="G12" s="5" t="s">
        <v>187</v>
      </c>
      <c r="H12" s="16">
        <v>3.95E-2</v>
      </c>
      <c r="I12" s="17">
        <f t="shared" si="0"/>
        <v>3.95E-2</v>
      </c>
    </row>
    <row r="13" spans="1:9" x14ac:dyDescent="0.25">
      <c r="A13" s="39"/>
      <c r="B13" s="36"/>
      <c r="C13" s="37"/>
      <c r="D13" s="37"/>
      <c r="E13" s="38"/>
      <c r="F13" s="38"/>
      <c r="G13" s="5" t="s">
        <v>189</v>
      </c>
      <c r="H13" s="16">
        <v>0.03</v>
      </c>
      <c r="I13" s="17">
        <f t="shared" si="0"/>
        <v>0.03</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3.2342274615010123E-2</v>
      </c>
      <c r="B20" s="8">
        <f>COUNT(H3:H17)</f>
        <v>11</v>
      </c>
      <c r="C20" s="9">
        <f>IF(B20&lt;2,"n/a",(A20/D20))</f>
        <v>0.80855686537525306</v>
      </c>
      <c r="D20" s="10">
        <f>IFERROR(ROUND(AVERAGE(H3:H17),2),"")</f>
        <v>0.04</v>
      </c>
      <c r="E20" s="15">
        <f>IFERROR(ROUND(IF(B20&lt;2,"n/a",(IF(C20&lt;=25%,"n/a",AVERAGE(I3:I17)))),2),"n/a")</f>
        <v>0.04</v>
      </c>
      <c r="F20" s="10">
        <f>IFERROR(ROUND(MEDIAN(H3:H17),2),"")</f>
        <v>0.03</v>
      </c>
      <c r="G20" s="11" t="str">
        <f>IFERROR(INDEX(G3:G17,MATCH(H20,H3:H17,0)),"")</f>
        <v>LELLO PRINT BRASIL COMERCIAL LTDA</v>
      </c>
      <c r="H20" s="12">
        <f>F3</f>
        <v>1.9900000000000001E-2</v>
      </c>
    </row>
    <row r="22" spans="1:9" x14ac:dyDescent="0.25">
      <c r="G22" s="13" t="s">
        <v>20</v>
      </c>
      <c r="H22" s="14">
        <f>IF(C20&lt;=25%,D20,MIN(E20:F20))</f>
        <v>0.03</v>
      </c>
    </row>
    <row r="23" spans="1:9" x14ac:dyDescent="0.25">
      <c r="G23" s="13" t="s">
        <v>6</v>
      </c>
      <c r="H23" s="14">
        <f>ROUND(H22,2)*D3</f>
        <v>300000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18" sqref="C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9">
        <v>5</v>
      </c>
      <c r="B3" s="35" t="s">
        <v>184</v>
      </c>
      <c r="C3" s="37" t="s">
        <v>191</v>
      </c>
      <c r="D3" s="37">
        <f>80000+80000</f>
        <v>160000</v>
      </c>
      <c r="E3" s="38">
        <f>IF(C20&lt;=25%,D20,MIN(E20:F20))</f>
        <v>0.03</v>
      </c>
      <c r="F3" s="38">
        <f>MIN(H3:H17)</f>
        <v>0.02</v>
      </c>
      <c r="G3" s="5" t="s">
        <v>179</v>
      </c>
      <c r="H3" s="16">
        <v>2.5000000000000001E-2</v>
      </c>
      <c r="I3" s="17">
        <f>IF(H3="","",(IF($C$20&lt;25%,"n/a",IF(H3&lt;=($D$20+$A$20),H3,"Descartado"))))</f>
        <v>2.5000000000000001E-2</v>
      </c>
    </row>
    <row r="4" spans="1:9" x14ac:dyDescent="0.25">
      <c r="A4" s="39"/>
      <c r="B4" s="36"/>
      <c r="C4" s="37"/>
      <c r="D4" s="37"/>
      <c r="E4" s="38"/>
      <c r="F4" s="38"/>
      <c r="G4" s="5" t="s">
        <v>181</v>
      </c>
      <c r="H4" s="16">
        <v>7.0000000000000007E-2</v>
      </c>
      <c r="I4" s="17">
        <f t="shared" ref="I4:I17" si="0">IF(H4="","",(IF($C$20&lt;25%,"n/a",IF(H4&lt;=($D$20+$A$20),H4,"Descartado"))))</f>
        <v>7.0000000000000007E-2</v>
      </c>
    </row>
    <row r="5" spans="1:9" x14ac:dyDescent="0.25">
      <c r="A5" s="39"/>
      <c r="B5" s="36"/>
      <c r="C5" s="37"/>
      <c r="D5" s="37"/>
      <c r="E5" s="38"/>
      <c r="F5" s="38"/>
      <c r="G5" s="5" t="s">
        <v>188</v>
      </c>
      <c r="H5" s="16">
        <v>0.02</v>
      </c>
      <c r="I5" s="17">
        <f t="shared" si="0"/>
        <v>0.02</v>
      </c>
    </row>
    <row r="6" spans="1:9" x14ac:dyDescent="0.25">
      <c r="A6" s="39"/>
      <c r="B6" s="36"/>
      <c r="C6" s="37"/>
      <c r="D6" s="37"/>
      <c r="E6" s="38"/>
      <c r="F6" s="38"/>
      <c r="G6" s="5" t="s">
        <v>187</v>
      </c>
      <c r="H6" s="16">
        <f>0.2353/2</f>
        <v>0.11765</v>
      </c>
      <c r="I6" s="17" t="str">
        <f t="shared" si="0"/>
        <v>Descartado</v>
      </c>
    </row>
    <row r="7" spans="1:9" x14ac:dyDescent="0.25">
      <c r="A7" s="39"/>
      <c r="B7" s="36"/>
      <c r="C7" s="37"/>
      <c r="D7" s="37"/>
      <c r="E7" s="38"/>
      <c r="F7" s="38"/>
      <c r="G7" s="5" t="s">
        <v>189</v>
      </c>
      <c r="H7" s="16">
        <v>0.03</v>
      </c>
      <c r="I7" s="17">
        <f t="shared" si="0"/>
        <v>0.03</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4.1441277731266921E-2</v>
      </c>
      <c r="B20" s="8">
        <f>COUNT(H3:H17)</f>
        <v>5</v>
      </c>
      <c r="C20" s="9">
        <f>IF(B20&lt;2,"n/a",(A20/D20))</f>
        <v>0.82882555462533836</v>
      </c>
      <c r="D20" s="10">
        <f>IFERROR(ROUND(AVERAGE(H3:H17),2),"")</f>
        <v>0.05</v>
      </c>
      <c r="E20" s="15">
        <f>IFERROR(ROUND(IF(B20&lt;2,"n/a",(IF(C20&lt;=25%,"n/a",AVERAGE(I3:I17)))),2),"n/a")</f>
        <v>0.04</v>
      </c>
      <c r="F20" s="10">
        <f>IFERROR(ROUND(MEDIAN(H3:H17),2),"")</f>
        <v>0.03</v>
      </c>
      <c r="G20" s="11" t="str">
        <f>IFERROR(INDEX(G3:G17,MATCH(H20,H3:H17,0)),"")</f>
        <v>GOLVIM LOGÍSTICA E COMÉRCIO LTDA</v>
      </c>
      <c r="H20" s="12">
        <f>F3</f>
        <v>0.02</v>
      </c>
    </row>
    <row r="22" spans="1:9" x14ac:dyDescent="0.25">
      <c r="G22" s="13" t="s">
        <v>20</v>
      </c>
      <c r="H22" s="14">
        <f>IF(C20&lt;=25%,D20,MIN(E20:F20))</f>
        <v>0.03</v>
      </c>
    </row>
    <row r="23" spans="1:9" x14ac:dyDescent="0.25">
      <c r="G23" s="13" t="s">
        <v>6</v>
      </c>
      <c r="H23" s="14">
        <f>ROUND(H22,2)*D3</f>
        <v>4800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18" sqref="C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9">
        <v>6</v>
      </c>
      <c r="B3" s="35" t="s">
        <v>183</v>
      </c>
      <c r="C3" s="37" t="s">
        <v>191</v>
      </c>
      <c r="D3" s="37">
        <f>160000+160000</f>
        <v>320000</v>
      </c>
      <c r="E3" s="38">
        <f>IF(C20&lt;=25%,D20,MIN(E20:F20))</f>
        <v>0.12</v>
      </c>
      <c r="F3" s="38">
        <f>MIN(H3:H17)</f>
        <v>0.09</v>
      </c>
      <c r="G3" s="5" t="s">
        <v>179</v>
      </c>
      <c r="H3" s="16">
        <f>0.12</f>
        <v>0.12</v>
      </c>
      <c r="I3" s="17">
        <f>IF(H3="","",(IF($C$20&lt;25%,"n/a",IF(H3&lt;=($D$20+$A$20),H3,"Descartado"))))</f>
        <v>0.12</v>
      </c>
    </row>
    <row r="4" spans="1:9" x14ac:dyDescent="0.25">
      <c r="A4" s="39"/>
      <c r="B4" s="36"/>
      <c r="C4" s="37"/>
      <c r="D4" s="37"/>
      <c r="E4" s="38"/>
      <c r="F4" s="38"/>
      <c r="G4" s="5" t="s">
        <v>181</v>
      </c>
      <c r="H4" s="16">
        <v>0.1</v>
      </c>
      <c r="I4" s="17">
        <f t="shared" ref="I4:I17" si="0">IF(H4="","",(IF($C$20&lt;25%,"n/a",IF(H4&lt;=($D$20+$A$20),H4,"Descartado"))))</f>
        <v>0.1</v>
      </c>
    </row>
    <row r="5" spans="1:9" x14ac:dyDescent="0.25">
      <c r="A5" s="39"/>
      <c r="B5" s="36"/>
      <c r="C5" s="37"/>
      <c r="D5" s="37"/>
      <c r="E5" s="38"/>
      <c r="F5" s="38"/>
      <c r="G5" s="5" t="s">
        <v>188</v>
      </c>
      <c r="H5" s="16">
        <f>0.09</f>
        <v>0.09</v>
      </c>
      <c r="I5" s="17">
        <f t="shared" si="0"/>
        <v>0.09</v>
      </c>
    </row>
    <row r="6" spans="1:9" x14ac:dyDescent="0.25">
      <c r="A6" s="39"/>
      <c r="B6" s="36"/>
      <c r="C6" s="37"/>
      <c r="D6" s="37"/>
      <c r="E6" s="38"/>
      <c r="F6" s="38"/>
      <c r="G6" s="5" t="s">
        <v>187</v>
      </c>
      <c r="H6" s="16">
        <f>0.6596</f>
        <v>0.65959999999999996</v>
      </c>
      <c r="I6" s="17" t="str">
        <f t="shared" si="0"/>
        <v>Descartado</v>
      </c>
    </row>
    <row r="7" spans="1:9" x14ac:dyDescent="0.25">
      <c r="A7" s="39"/>
      <c r="B7" s="36"/>
      <c r="C7" s="37"/>
      <c r="D7" s="37"/>
      <c r="E7" s="38"/>
      <c r="F7" s="38"/>
      <c r="G7" s="5" t="s">
        <v>189</v>
      </c>
      <c r="H7" s="16">
        <v>0.25</v>
      </c>
      <c r="I7" s="17">
        <f t="shared" si="0"/>
        <v>0.25</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0.24113654223281875</v>
      </c>
      <c r="B20" s="8">
        <f>COUNT(H3:H17)</f>
        <v>5</v>
      </c>
      <c r="C20" s="9">
        <f>IF(B20&lt;2,"n/a",(A20/D20))</f>
        <v>1.0047355926367447</v>
      </c>
      <c r="D20" s="10">
        <f>IFERROR(ROUND(AVERAGE(H3:H17),2),"")</f>
        <v>0.24</v>
      </c>
      <c r="E20" s="15">
        <f>IFERROR(ROUND(IF(B20&lt;2,"n/a",(IF(C20&lt;=25%,"n/a",AVERAGE(I3:I17)))),2),"n/a")</f>
        <v>0.14000000000000001</v>
      </c>
      <c r="F20" s="10">
        <f>IFERROR(ROUND(MEDIAN(H3:H17),2),"")</f>
        <v>0.12</v>
      </c>
      <c r="G20" s="11" t="str">
        <f>IFERROR(INDEX(G3:G17,MATCH(H20,H3:H17,0)),"")</f>
        <v>GOLVIM LOGÍSTICA E COMÉRCIO LTDA</v>
      </c>
      <c r="H20" s="12">
        <f>F3</f>
        <v>0.09</v>
      </c>
    </row>
    <row r="22" spans="1:9" x14ac:dyDescent="0.25">
      <c r="G22" s="13" t="s">
        <v>20</v>
      </c>
      <c r="H22" s="14">
        <f>IF(C20&lt;=25%,D20,MIN(E20:F20))</f>
        <v>0.12</v>
      </c>
    </row>
    <row r="23" spans="1:9" x14ac:dyDescent="0.25">
      <c r="G23" s="13" t="s">
        <v>6</v>
      </c>
      <c r="H23" s="14">
        <f>ROUND(H22,2)*D3</f>
        <v>38400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18" sqref="C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9">
        <v>7</v>
      </c>
      <c r="B3" s="35" t="s">
        <v>185</v>
      </c>
      <c r="C3" s="37" t="s">
        <v>191</v>
      </c>
      <c r="D3" s="37">
        <f>360000+360000</f>
        <v>720000</v>
      </c>
      <c r="E3" s="38">
        <f>IF(C20&lt;=25%,D20,MIN(E20:F20))</f>
        <v>0.03</v>
      </c>
      <c r="F3" s="38">
        <f>MIN(H3:H17)</f>
        <v>0.02</v>
      </c>
      <c r="G3" s="5" t="s">
        <v>181</v>
      </c>
      <c r="H3" s="16">
        <v>0.04</v>
      </c>
      <c r="I3" s="17">
        <f>IF(H3="","",(IF($C$20&lt;25%,"n/a",IF(H3&lt;=($D$20+$A$20),H3,"Descartado"))))</f>
        <v>0.04</v>
      </c>
    </row>
    <row r="4" spans="1:9" x14ac:dyDescent="0.25">
      <c r="A4" s="39"/>
      <c r="B4" s="36"/>
      <c r="C4" s="37"/>
      <c r="D4" s="37"/>
      <c r="E4" s="38"/>
      <c r="F4" s="38"/>
      <c r="G4" s="5" t="s">
        <v>186</v>
      </c>
      <c r="H4" s="16">
        <v>7.0000000000000007E-2</v>
      </c>
      <c r="I4" s="17" t="str">
        <f t="shared" ref="I4:I17" si="0">IF(H4="","",(IF($C$20&lt;25%,"n/a",IF(H4&lt;=($D$20+$A$20),H4,"Descartado"))))</f>
        <v>Descartado</v>
      </c>
    </row>
    <row r="5" spans="1:9" x14ac:dyDescent="0.25">
      <c r="A5" s="39"/>
      <c r="B5" s="36"/>
      <c r="C5" s="37"/>
      <c r="D5" s="37"/>
      <c r="E5" s="38"/>
      <c r="F5" s="38"/>
      <c r="G5" s="5" t="s">
        <v>188</v>
      </c>
      <c r="H5" s="16">
        <v>0.02</v>
      </c>
      <c r="I5" s="17">
        <f t="shared" si="0"/>
        <v>0.02</v>
      </c>
    </row>
    <row r="6" spans="1:9" x14ac:dyDescent="0.25">
      <c r="A6" s="39"/>
      <c r="B6" s="36"/>
      <c r="C6" s="37"/>
      <c r="D6" s="37"/>
      <c r="E6" s="38"/>
      <c r="F6" s="38"/>
      <c r="G6" s="5" t="s">
        <v>189</v>
      </c>
      <c r="H6" s="16">
        <v>0.03</v>
      </c>
      <c r="I6" s="17">
        <f t="shared" si="0"/>
        <v>0.03</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2.1602468994692869E-2</v>
      </c>
      <c r="B20" s="8">
        <f>COUNT(H3:H17)</f>
        <v>4</v>
      </c>
      <c r="C20" s="9">
        <f>IF(B20&lt;2,"n/a",(A20/D20))</f>
        <v>0.54006172486732174</v>
      </c>
      <c r="D20" s="10">
        <f>IFERROR(ROUND(AVERAGE(H3:H17),2),"")</f>
        <v>0.04</v>
      </c>
      <c r="E20" s="15">
        <f>IFERROR(ROUND(IF(B20&lt;2,"n/a",(IF(C20&lt;=25%,"n/a",AVERAGE(I3:I17)))),2),"n/a")</f>
        <v>0.03</v>
      </c>
      <c r="F20" s="10">
        <f>IFERROR(ROUND(MEDIAN(H3:H17),2),"")</f>
        <v>0.04</v>
      </c>
      <c r="G20" s="11" t="str">
        <f>IFERROR(INDEX(G3:G17,MATCH(H20,H3:H17,0)),"")</f>
        <v>GOLVIM LOGÍSTICA E COMÉRCIO LTDA</v>
      </c>
      <c r="H20" s="12">
        <f>F3</f>
        <v>0.02</v>
      </c>
    </row>
    <row r="22" spans="1:9" x14ac:dyDescent="0.25">
      <c r="G22" s="13" t="s">
        <v>20</v>
      </c>
      <c r="H22" s="14">
        <f>IF(C20&lt;=25%,D20,MIN(E20:F20))</f>
        <v>0.03</v>
      </c>
    </row>
    <row r="23" spans="1:9" x14ac:dyDescent="0.25">
      <c r="G23" s="13" t="s">
        <v>6</v>
      </c>
      <c r="H23" s="14">
        <f>ROUND(H22,2)*D3</f>
        <v>21600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8</v>
      </c>
      <c r="B3" s="35" t="s">
        <v>34</v>
      </c>
      <c r="C3" s="37" t="s">
        <v>7</v>
      </c>
      <c r="D3" s="37">
        <v>1</v>
      </c>
      <c r="E3" s="38">
        <f>IF(C20&lt;=25%,D20,MIN(E20:F20))</f>
        <v>1797.62</v>
      </c>
      <c r="F3" s="38">
        <f>MIN(H3:H17)</f>
        <v>514</v>
      </c>
      <c r="G3" s="5" t="s">
        <v>58</v>
      </c>
      <c r="H3" s="16">
        <v>1463.54</v>
      </c>
      <c r="I3" s="17">
        <f>IF(H3="","",(IF($C$20&lt;25%,"n/a",IF(H3&lt;=($D$20+$A$20),H3,"Descartado"))))</f>
        <v>1463.54</v>
      </c>
    </row>
    <row r="4" spans="1:9" x14ac:dyDescent="0.25">
      <c r="A4" s="39"/>
      <c r="B4" s="36"/>
      <c r="C4" s="37"/>
      <c r="D4" s="37"/>
      <c r="E4" s="38"/>
      <c r="F4" s="38"/>
      <c r="G4" s="5" t="s">
        <v>59</v>
      </c>
      <c r="H4" s="16">
        <v>514</v>
      </c>
      <c r="I4" s="17">
        <f t="shared" ref="I4:I17" si="0">IF(H4="","",(IF($C$20&lt;25%,"n/a",IF(H4&lt;=($D$20+$A$20),H4,"Descartado"))))</f>
        <v>514</v>
      </c>
    </row>
    <row r="5" spans="1:9" x14ac:dyDescent="0.25">
      <c r="A5" s="39"/>
      <c r="B5" s="36"/>
      <c r="C5" s="37"/>
      <c r="D5" s="37"/>
      <c r="E5" s="38"/>
      <c r="F5" s="38"/>
      <c r="G5" s="5" t="s">
        <v>60</v>
      </c>
      <c r="H5" s="16">
        <v>2565.66</v>
      </c>
      <c r="I5" s="17">
        <f t="shared" si="0"/>
        <v>2565.66</v>
      </c>
    </row>
    <row r="6" spans="1:9" x14ac:dyDescent="0.25">
      <c r="A6" s="39"/>
      <c r="B6" s="36"/>
      <c r="C6" s="37"/>
      <c r="D6" s="37"/>
      <c r="E6" s="38"/>
      <c r="F6" s="38"/>
      <c r="G6" s="5" t="s">
        <v>61</v>
      </c>
      <c r="H6" s="16">
        <v>790</v>
      </c>
      <c r="I6" s="17">
        <f t="shared" si="0"/>
        <v>790</v>
      </c>
    </row>
    <row r="7" spans="1:9" x14ac:dyDescent="0.25">
      <c r="A7" s="39"/>
      <c r="B7" s="36"/>
      <c r="C7" s="37"/>
      <c r="D7" s="37"/>
      <c r="E7" s="38"/>
      <c r="F7" s="38"/>
      <c r="G7" s="5" t="s">
        <v>62</v>
      </c>
      <c r="H7" s="16">
        <v>4858</v>
      </c>
      <c r="I7" s="17" t="str">
        <f t="shared" si="0"/>
        <v>Descartado</v>
      </c>
    </row>
    <row r="8" spans="1:9" x14ac:dyDescent="0.25">
      <c r="A8" s="39"/>
      <c r="B8" s="36"/>
      <c r="C8" s="37"/>
      <c r="D8" s="37"/>
      <c r="E8" s="38"/>
      <c r="F8" s="38"/>
      <c r="G8" s="5" t="s">
        <v>63</v>
      </c>
      <c r="H8" s="16">
        <v>4932</v>
      </c>
      <c r="I8" s="17" t="str">
        <f t="shared" si="0"/>
        <v>Descartado</v>
      </c>
    </row>
    <row r="9" spans="1:9" x14ac:dyDescent="0.25">
      <c r="A9" s="39"/>
      <c r="B9" s="36"/>
      <c r="C9" s="37"/>
      <c r="D9" s="37"/>
      <c r="E9" s="38"/>
      <c r="F9" s="38"/>
      <c r="G9" s="5" t="s">
        <v>64</v>
      </c>
      <c r="H9" s="16">
        <v>1970</v>
      </c>
      <c r="I9" s="17">
        <f t="shared" si="0"/>
        <v>1970</v>
      </c>
    </row>
    <row r="10" spans="1:9" x14ac:dyDescent="0.25">
      <c r="A10" s="39"/>
      <c r="B10" s="36"/>
      <c r="C10" s="37"/>
      <c r="D10" s="37"/>
      <c r="E10" s="38"/>
      <c r="F10" s="38"/>
      <c r="G10" s="5" t="s">
        <v>65</v>
      </c>
      <c r="H10" s="16">
        <v>3137</v>
      </c>
      <c r="I10" s="17">
        <f t="shared" si="0"/>
        <v>3137</v>
      </c>
    </row>
    <row r="11" spans="1:9" x14ac:dyDescent="0.25">
      <c r="A11" s="39"/>
      <c r="B11" s="36"/>
      <c r="C11" s="37"/>
      <c r="D11" s="37"/>
      <c r="E11" s="38"/>
      <c r="F11" s="38"/>
      <c r="G11" s="5" t="s">
        <v>66</v>
      </c>
      <c r="H11" s="16">
        <v>1990</v>
      </c>
      <c r="I11" s="17">
        <f t="shared" si="0"/>
        <v>1990</v>
      </c>
    </row>
    <row r="12" spans="1:9" x14ac:dyDescent="0.25">
      <c r="A12" s="39"/>
      <c r="B12" s="36"/>
      <c r="C12" s="37"/>
      <c r="D12" s="37"/>
      <c r="E12" s="38"/>
      <c r="F12" s="38"/>
      <c r="G12" s="5" t="s">
        <v>139</v>
      </c>
      <c r="H12" s="16">
        <v>1950.72</v>
      </c>
      <c r="I12" s="17">
        <f t="shared" si="0"/>
        <v>1950.72</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9</v>
      </c>
      <c r="B3" s="35" t="s">
        <v>35</v>
      </c>
      <c r="C3" s="37" t="s">
        <v>7</v>
      </c>
      <c r="D3" s="37">
        <v>4</v>
      </c>
      <c r="E3" s="38">
        <f>IF(C20&lt;=25%,D20,MIN(E20:F20))</f>
        <v>684.5</v>
      </c>
      <c r="F3" s="38">
        <f>MIN(H3:H17)</f>
        <v>110</v>
      </c>
      <c r="G3" s="5" t="s">
        <v>67</v>
      </c>
      <c r="H3" s="16">
        <v>699</v>
      </c>
      <c r="I3" s="17">
        <f>IF(H3="","",(IF($C$20&lt;25%,"n/a",IF(H3&lt;=($D$20+$A$20),H3,"Descartado"))))</f>
        <v>699</v>
      </c>
    </row>
    <row r="4" spans="1:9" x14ac:dyDescent="0.25">
      <c r="A4" s="39"/>
      <c r="B4" s="36"/>
      <c r="C4" s="37"/>
      <c r="D4" s="37"/>
      <c r="E4" s="38"/>
      <c r="F4" s="38"/>
      <c r="G4" s="5" t="s">
        <v>68</v>
      </c>
      <c r="H4" s="16">
        <v>238.76</v>
      </c>
      <c r="I4" s="17">
        <f t="shared" ref="I4:I17" si="0">IF(H4="","",(IF($C$20&lt;25%,"n/a",IF(H4&lt;=($D$20+$A$20),H4,"Descartado"))))</f>
        <v>238.76</v>
      </c>
    </row>
    <row r="5" spans="1:9" x14ac:dyDescent="0.25">
      <c r="A5" s="39"/>
      <c r="B5" s="36"/>
      <c r="C5" s="37"/>
      <c r="D5" s="37"/>
      <c r="E5" s="38"/>
      <c r="F5" s="38"/>
      <c r="G5" s="5" t="s">
        <v>69</v>
      </c>
      <c r="H5" s="16">
        <v>595</v>
      </c>
      <c r="I5" s="17">
        <f t="shared" si="0"/>
        <v>595</v>
      </c>
    </row>
    <row r="6" spans="1:9" x14ac:dyDescent="0.25">
      <c r="A6" s="39"/>
      <c r="B6" s="36"/>
      <c r="C6" s="37"/>
      <c r="D6" s="37"/>
      <c r="E6" s="38"/>
      <c r="F6" s="38"/>
      <c r="G6" s="5" t="s">
        <v>70</v>
      </c>
      <c r="H6" s="16">
        <v>110</v>
      </c>
      <c r="I6" s="17">
        <f t="shared" si="0"/>
        <v>110</v>
      </c>
    </row>
    <row r="7" spans="1:9" x14ac:dyDescent="0.25">
      <c r="A7" s="39"/>
      <c r="B7" s="36"/>
      <c r="C7" s="37"/>
      <c r="D7" s="37"/>
      <c r="E7" s="38"/>
      <c r="F7" s="38"/>
      <c r="G7" s="5" t="s">
        <v>71</v>
      </c>
      <c r="H7" s="16">
        <v>1064.26</v>
      </c>
      <c r="I7" s="17">
        <f t="shared" si="0"/>
        <v>1064.26</v>
      </c>
    </row>
    <row r="8" spans="1:9" x14ac:dyDescent="0.25">
      <c r="A8" s="39"/>
      <c r="B8" s="36"/>
      <c r="C8" s="37"/>
      <c r="D8" s="37"/>
      <c r="E8" s="38"/>
      <c r="F8" s="38"/>
      <c r="G8" s="5" t="s">
        <v>140</v>
      </c>
      <c r="H8" s="16">
        <v>1400</v>
      </c>
      <c r="I8" s="17">
        <f t="shared" si="0"/>
        <v>1400</v>
      </c>
    </row>
    <row r="9" spans="1:9" x14ac:dyDescent="0.25">
      <c r="A9" s="39"/>
      <c r="B9" s="36"/>
      <c r="C9" s="37"/>
      <c r="D9" s="37"/>
      <c r="E9" s="38"/>
      <c r="F9" s="38"/>
      <c r="G9" s="5" t="s">
        <v>141</v>
      </c>
      <c r="H9" s="16">
        <v>5751</v>
      </c>
      <c r="I9" s="17" t="str">
        <f t="shared" si="0"/>
        <v>Descartado</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29</vt:i4>
      </vt:variant>
      <vt:variant>
        <vt:lpstr>Intervalos nomeados</vt:lpstr>
      </vt:variant>
      <vt:variant>
        <vt:i4>4</vt:i4>
      </vt:variant>
    </vt:vector>
  </HeadingPairs>
  <TitlesOfParts>
    <vt:vector size="33"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tabelaTR</vt:lpstr>
      <vt:lpstr>tabelaTR!Area_de_impressao</vt:lpstr>
      <vt:lpstr>total!Area_de_impressao</vt:lpstr>
      <vt:lpstr>tabelaTR!Titulos_de_impressao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Arthur Ribeiro Rocha</cp:lastModifiedBy>
  <cp:lastPrinted>2025-10-29T15:00:30Z</cp:lastPrinted>
  <dcterms:created xsi:type="dcterms:W3CDTF">2023-11-07T17:10:34Z</dcterms:created>
  <dcterms:modified xsi:type="dcterms:W3CDTF">2025-11-28T11:30:25Z</dcterms:modified>
</cp:coreProperties>
</file>